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35" windowHeight="9045" tabRatio="660" activeTab="0"/>
  </bookViews>
  <sheets>
    <sheet name="BASE" sheetId="1" r:id="rId1"/>
    <sheet name="Module Martial" sheetId="2" r:id="rId2"/>
    <sheet name="Module Mystique" sheetId="3" r:id="rId3"/>
    <sheet name="Module Psy" sheetId="4" r:id="rId4"/>
    <sheet name="Compétence secondaire" sheetId="5" r:id="rId5"/>
    <sheet name="Avantage" sheetId="6" r:id="rId6"/>
    <sheet name="Description classe" sheetId="7" r:id="rId7"/>
  </sheets>
  <definedNames/>
  <calcPr fullCalcOnLoad="1"/>
</workbook>
</file>

<file path=xl/sharedStrings.xml><?xml version="1.0" encoding="utf-8"?>
<sst xmlns="http://schemas.openxmlformats.org/spreadsheetml/2006/main" count="1036" uniqueCount="601">
  <si>
    <t>FOR</t>
  </si>
  <si>
    <t>AGI</t>
  </si>
  <si>
    <t>DEX</t>
  </si>
  <si>
    <t>CON</t>
  </si>
  <si>
    <t>INT</t>
  </si>
  <si>
    <t>PER</t>
  </si>
  <si>
    <t>VOL</t>
  </si>
  <si>
    <t>POU</t>
  </si>
  <si>
    <t>Carac</t>
  </si>
  <si>
    <t>Total</t>
  </si>
  <si>
    <t>Mod</t>
  </si>
  <si>
    <t>Bonus</t>
  </si>
  <si>
    <t>Guerrier</t>
  </si>
  <si>
    <t>limitation module martial</t>
  </si>
  <si>
    <t>limitation module mystique</t>
  </si>
  <si>
    <t>limitation module psychique</t>
  </si>
  <si>
    <t>Reste</t>
  </si>
  <si>
    <t>PF</t>
  </si>
  <si>
    <t>base</t>
  </si>
  <si>
    <t>Car</t>
  </si>
  <si>
    <t>classe</t>
  </si>
  <si>
    <t>spé</t>
  </si>
  <si>
    <t>total</t>
  </si>
  <si>
    <t>acrobatie</t>
  </si>
  <si>
    <t>athlétisme</t>
  </si>
  <si>
    <t>escalade</t>
  </si>
  <si>
    <t>saut</t>
  </si>
  <si>
    <t>total:</t>
  </si>
  <si>
    <t>/</t>
  </si>
  <si>
    <t>utilisé:</t>
  </si>
  <si>
    <t>PA</t>
  </si>
  <si>
    <t>PV</t>
  </si>
  <si>
    <t>Base</t>
  </si>
  <si>
    <t>Module martial</t>
  </si>
  <si>
    <t>Port armure</t>
  </si>
  <si>
    <t>Niv:</t>
  </si>
  <si>
    <t>natation</t>
  </si>
  <si>
    <t>FP</t>
  </si>
  <si>
    <t>TOTAL martial:</t>
  </si>
  <si>
    <t>Présence</t>
  </si>
  <si>
    <t>MOD</t>
  </si>
  <si>
    <t>liste module d'arme</t>
  </si>
  <si>
    <t>Nom</t>
  </si>
  <si>
    <t>Classe</t>
  </si>
  <si>
    <t xml:space="preserve">Total = </t>
  </si>
  <si>
    <t>Race</t>
  </si>
  <si>
    <t>Nb Multi</t>
  </si>
  <si>
    <t>COMPETENCE SECONDAIRE: ATHLETIQUE</t>
  </si>
  <si>
    <t>COMPETENCE SECONDAIRE: SENSORIEL</t>
  </si>
  <si>
    <t>Observation</t>
  </si>
  <si>
    <t>Pistage</t>
  </si>
  <si>
    <t>Vigilance</t>
  </si>
  <si>
    <t>Physique</t>
  </si>
  <si>
    <t>Maladies</t>
  </si>
  <si>
    <t>Poisons</t>
  </si>
  <si>
    <t>Mystique</t>
  </si>
  <si>
    <t>Psychique</t>
  </si>
  <si>
    <t>SPE</t>
  </si>
  <si>
    <t>BASE</t>
  </si>
  <si>
    <t>SPE1</t>
  </si>
  <si>
    <t>SPE2</t>
  </si>
  <si>
    <t>SPE3</t>
  </si>
  <si>
    <t>SPE4</t>
  </si>
  <si>
    <t>ARMURE</t>
  </si>
  <si>
    <t>AGILITE</t>
  </si>
  <si>
    <t>DEXTERITE</t>
  </si>
  <si>
    <t>ARME</t>
  </si>
  <si>
    <t>CLASSE</t>
  </si>
  <si>
    <t>INITIATIVE</t>
  </si>
  <si>
    <t>Mouvement</t>
  </si>
  <si>
    <t>Malus</t>
  </si>
  <si>
    <t>M/Round</t>
  </si>
  <si>
    <t>COMPETENCE SECONDAIRE: VITALE</t>
  </si>
  <si>
    <t>Prouesse</t>
  </si>
  <si>
    <t>Res douleur</t>
  </si>
  <si>
    <t>Animaux</t>
  </si>
  <si>
    <t>Estimation</t>
  </si>
  <si>
    <t>E.Magique</t>
  </si>
  <si>
    <t>Herboristerie</t>
  </si>
  <si>
    <t>Histoire</t>
  </si>
  <si>
    <t>Navigation</t>
  </si>
  <si>
    <t>Occultisme</t>
  </si>
  <si>
    <t>COMPETENCE SECONDAIRE: SOCIALE</t>
  </si>
  <si>
    <t>Commander</t>
  </si>
  <si>
    <t>Intimider</t>
  </si>
  <si>
    <t>Persuader</t>
  </si>
  <si>
    <t>Style</t>
  </si>
  <si>
    <t>COMPETENCE SECONDAIRE: CLANDESTINE</t>
  </si>
  <si>
    <t>Camouflage</t>
  </si>
  <si>
    <t>Crochetage</t>
  </si>
  <si>
    <t>Larcin</t>
  </si>
  <si>
    <t>Tao</t>
  </si>
  <si>
    <t>Sorcier</t>
  </si>
  <si>
    <t>KI ET ART MARTIAUX</t>
  </si>
  <si>
    <t>Art Mart.</t>
  </si>
  <si>
    <t>Tai Chi</t>
  </si>
  <si>
    <t>Shotokan</t>
  </si>
  <si>
    <t>O=1</t>
  </si>
  <si>
    <t>Art Marti</t>
  </si>
  <si>
    <t>Reg Tao</t>
  </si>
  <si>
    <t>Mod DI</t>
  </si>
  <si>
    <t>Sous Tot</t>
  </si>
  <si>
    <t>Nb d'art martiaux Max :</t>
  </si>
  <si>
    <t>COMPETENCE SECONDAIRE: CREATIVE</t>
  </si>
  <si>
    <t>Art</t>
  </si>
  <si>
    <t>Forge</t>
  </si>
  <si>
    <t>Danse</t>
  </si>
  <si>
    <t>Utilisation du KI (40DI)</t>
  </si>
  <si>
    <t>Elimination du poids (10)</t>
  </si>
  <si>
    <t>Lévitation(20)</t>
  </si>
  <si>
    <t>Vol (20)</t>
  </si>
  <si>
    <t>Module d'arme</t>
  </si>
  <si>
    <t>Module Psychique</t>
  </si>
  <si>
    <t>Talent psychique</t>
  </si>
  <si>
    <t>Sort/round</t>
  </si>
  <si>
    <t>PPP</t>
  </si>
  <si>
    <t>Projection Psy</t>
  </si>
  <si>
    <t>Dex</t>
  </si>
  <si>
    <t xml:space="preserve">Total FP </t>
  </si>
  <si>
    <t>Sans rien</t>
  </si>
  <si>
    <t>compétence</t>
  </si>
  <si>
    <t>coût</t>
  </si>
  <si>
    <t>équitation</t>
  </si>
  <si>
    <t>Impassibilité</t>
  </si>
  <si>
    <t>COMPETENCE SECONDAIRE: INTELLECTUEL</t>
  </si>
  <si>
    <t>Médecine</t>
  </si>
  <si>
    <t>Science</t>
  </si>
  <si>
    <t>Déguiser</t>
  </si>
  <si>
    <t>Discrétion</t>
  </si>
  <si>
    <t>Pièges</t>
  </si>
  <si>
    <t>hab. Manu.</t>
  </si>
  <si>
    <t>Dévelopement intérieur:</t>
  </si>
  <si>
    <t>Coût</t>
  </si>
  <si>
    <t>coût m</t>
  </si>
  <si>
    <t>Vérifier les prérequis en comp secondaire des arts martiaux</t>
  </si>
  <si>
    <t>FATIGUE</t>
  </si>
  <si>
    <t>APPARENCE</t>
  </si>
  <si>
    <t>Taille H</t>
  </si>
  <si>
    <t>Min</t>
  </si>
  <si>
    <t>Max</t>
  </si>
  <si>
    <t>Taille F</t>
  </si>
  <si>
    <t>Poidss F</t>
  </si>
  <si>
    <t>Poids H</t>
  </si>
  <si>
    <t>MODULE MYSTIQUE</t>
  </si>
  <si>
    <t>Convoquer</t>
  </si>
  <si>
    <t>Dominer</t>
  </si>
  <si>
    <t>Lier</t>
  </si>
  <si>
    <t>Revoquer</t>
  </si>
  <si>
    <t>Modules de projection magique</t>
  </si>
  <si>
    <t>Base car</t>
  </si>
  <si>
    <t>Spé</t>
  </si>
  <si>
    <t>Cout multi</t>
  </si>
  <si>
    <t>Nb mu</t>
  </si>
  <si>
    <t>Total mystique:</t>
  </si>
  <si>
    <t>Car.</t>
  </si>
  <si>
    <t>Déséquilibre Offensif Deffensif</t>
  </si>
  <si>
    <t>Valeur déséquilibre de 0 à 30</t>
  </si>
  <si>
    <t>Projection offensive :</t>
  </si>
  <si>
    <t>Projection défensive</t>
  </si>
  <si>
    <t>Off =1 Deff=0 :</t>
  </si>
  <si>
    <t>MAGIE INNEE:</t>
  </si>
  <si>
    <t>ZEON</t>
  </si>
  <si>
    <t xml:space="preserve">Niveau de magie </t>
  </si>
  <si>
    <t>Niveau de voie</t>
  </si>
  <si>
    <t>à la Creat.</t>
  </si>
  <si>
    <t>Lumière</t>
  </si>
  <si>
    <t>Pref</t>
  </si>
  <si>
    <t>NIV</t>
  </si>
  <si>
    <t>Obscurité</t>
  </si>
  <si>
    <t>Création</t>
  </si>
  <si>
    <t>Destruction</t>
  </si>
  <si>
    <t>Feu</t>
  </si>
  <si>
    <t>Eau</t>
  </si>
  <si>
    <t>Terre</t>
  </si>
  <si>
    <t>Air</t>
  </si>
  <si>
    <t>Essence</t>
  </si>
  <si>
    <t>Illusion</t>
  </si>
  <si>
    <t>Nécromancie</t>
  </si>
  <si>
    <t>NB sort</t>
  </si>
  <si>
    <t>Nb sort isolé</t>
  </si>
  <si>
    <t>Niveau sort:</t>
  </si>
  <si>
    <t>12/20</t>
  </si>
  <si>
    <t>2/10</t>
  </si>
  <si>
    <t>22/30</t>
  </si>
  <si>
    <t>32/40</t>
  </si>
  <si>
    <t>42/50</t>
  </si>
  <si>
    <t>52/ 60</t>
  </si>
  <si>
    <t>Cout PV</t>
  </si>
  <si>
    <t>INVOCATION</t>
  </si>
  <si>
    <t>Spe</t>
  </si>
  <si>
    <t>Total Invo:</t>
  </si>
  <si>
    <t>Module</t>
  </si>
  <si>
    <t>Acheter = 1</t>
  </si>
  <si>
    <t>Maniement offensif des sorts</t>
  </si>
  <si>
    <t>Maniement Defensif des sorts</t>
  </si>
  <si>
    <t>Compétence Secondaire</t>
  </si>
  <si>
    <t>Arme similaire</t>
  </si>
  <si>
    <t>Arme mixte</t>
  </si>
  <si>
    <t>Arme distincte</t>
  </si>
  <si>
    <t>Mains nues</t>
  </si>
  <si>
    <t>Catégorie entière</t>
  </si>
  <si>
    <t>Projectiles</t>
  </si>
  <si>
    <t>Armes de lancer</t>
  </si>
  <si>
    <t>Armes Improvisées</t>
  </si>
  <si>
    <t>Armes de Barbare</t>
  </si>
  <si>
    <t>Armes de Chevalier</t>
  </si>
  <si>
    <t>Armes de Nomade</t>
  </si>
  <si>
    <t>Armes de Gladiateur</t>
  </si>
  <si>
    <t>Armes de Chasseur</t>
  </si>
  <si>
    <t>Armes de Ninja</t>
  </si>
  <si>
    <t>Armes de Soldat</t>
  </si>
  <si>
    <t>Armes de Duelliste</t>
  </si>
  <si>
    <t>Armes d'Aborigène</t>
  </si>
  <si>
    <t>Arme de Pirate</t>
  </si>
  <si>
    <t>Armes de Brigand</t>
  </si>
  <si>
    <t>Attaque Circulaire</t>
  </si>
  <si>
    <t>Tenir en Joue</t>
  </si>
  <si>
    <t>Désarmement</t>
  </si>
  <si>
    <t>Déplacements d'objet(10)</t>
  </si>
  <si>
    <t>Extrusion de KI(10)</t>
  </si>
  <si>
    <t>Detection du KI(20)</t>
  </si>
  <si>
    <t>Contrôle du KI(30)</t>
  </si>
  <si>
    <t>Apréciation du KI(10)</t>
  </si>
  <si>
    <t>Musique</t>
  </si>
  <si>
    <t>Tactique</t>
  </si>
  <si>
    <t>Loi</t>
  </si>
  <si>
    <t>Commerce</t>
  </si>
  <si>
    <t>Conn Rue</t>
  </si>
  <si>
    <t>TOTAL DI</t>
  </si>
  <si>
    <t>DI utilisé</t>
  </si>
  <si>
    <t>DI restant</t>
  </si>
  <si>
    <t>Désavantage</t>
  </si>
  <si>
    <t>Liste désavantage</t>
  </si>
  <si>
    <t>Muet</t>
  </si>
  <si>
    <t>Avantage</t>
  </si>
  <si>
    <t>Sourd</t>
  </si>
  <si>
    <t>Liste avantage</t>
  </si>
  <si>
    <t>Don mystique</t>
  </si>
  <si>
    <t>PA Restant</t>
  </si>
  <si>
    <t>PA restant</t>
  </si>
  <si>
    <t>Voie Psychique:</t>
  </si>
  <si>
    <t>Télékinésie</t>
  </si>
  <si>
    <t>Pyrokynésie</t>
  </si>
  <si>
    <t>Cryokynésie</t>
  </si>
  <si>
    <t>Préférence</t>
  </si>
  <si>
    <t>Télépathie</t>
  </si>
  <si>
    <t>Accéssible 1PP par voie</t>
  </si>
  <si>
    <t>PPP Libre</t>
  </si>
  <si>
    <t>PPP Utilisé</t>
  </si>
  <si>
    <t>Augm Phy</t>
  </si>
  <si>
    <t>Sentiment</t>
  </si>
  <si>
    <t>Energie</t>
  </si>
  <si>
    <t>ZEON - Carac afflié: Pouvoir</t>
  </si>
  <si>
    <t>AMR - Carac affilié: Pouvoir</t>
  </si>
  <si>
    <t>Projection Magique</t>
  </si>
  <si>
    <t>Kung Fu</t>
  </si>
  <si>
    <t>Maitrise martial</t>
  </si>
  <si>
    <t>C. Natur</t>
  </si>
  <si>
    <t>Nb de comp naturel total</t>
  </si>
  <si>
    <t>Utilisé</t>
  </si>
  <si>
    <t>Télémétrie</t>
  </si>
  <si>
    <t>For</t>
  </si>
  <si>
    <t>Con</t>
  </si>
  <si>
    <t>Agi</t>
  </si>
  <si>
    <t>Vol</t>
  </si>
  <si>
    <t>Pou</t>
  </si>
  <si>
    <t>Armure du Ki(10)</t>
  </si>
  <si>
    <t>Extension de l'aura à l'arme(10)</t>
  </si>
  <si>
    <t>Destruction par le KI(20)</t>
  </si>
  <si>
    <t>Guérison par le Ki(10)</t>
  </si>
  <si>
    <t>Transmission du Ki(10)</t>
  </si>
  <si>
    <t>Utilisation de l'energie nécessaire(10)</t>
  </si>
  <si>
    <t>Dissimulation du Ki(10)</t>
  </si>
  <si>
    <t>Fausse mort(10)</t>
  </si>
  <si>
    <t>Elimination des besoins(10)</t>
  </si>
  <si>
    <t>Elimination des malus(20)</t>
  </si>
  <si>
    <t>Récupération (20)</t>
  </si>
  <si>
    <t>Augmentation des caractéristiques(20)</t>
  </si>
  <si>
    <t>Zen (50)</t>
  </si>
  <si>
    <t>Guerrier acrobate</t>
  </si>
  <si>
    <t>Parade</t>
  </si>
  <si>
    <t>Attaque</t>
  </si>
  <si>
    <t>Esquive</t>
  </si>
  <si>
    <t>total PF</t>
  </si>
  <si>
    <t>For +1</t>
  </si>
  <si>
    <t>Dex +1</t>
  </si>
  <si>
    <t>Agi +1</t>
  </si>
  <si>
    <t>Con +1</t>
  </si>
  <si>
    <t>Int +1</t>
  </si>
  <si>
    <t>Pou +1</t>
  </si>
  <si>
    <t>Vol +1</t>
  </si>
  <si>
    <t>Per +1</t>
  </si>
  <si>
    <t>For = 9</t>
  </si>
  <si>
    <t>Dex = 9</t>
  </si>
  <si>
    <t>Agi = 9</t>
  </si>
  <si>
    <t>Con = 9</t>
  </si>
  <si>
    <t>Int = 9</t>
  </si>
  <si>
    <t>Pou = 9</t>
  </si>
  <si>
    <t>Vol = 9</t>
  </si>
  <si>
    <t>Per = 9</t>
  </si>
  <si>
    <t>Résistance physique exeptionnelle</t>
  </si>
  <si>
    <t>Accès à toutes les disciplines psy</t>
  </si>
  <si>
    <t>Résistance Psychique exeptionnelle</t>
  </si>
  <si>
    <t>Accès à une discipline Psy</t>
  </si>
  <si>
    <t>Résistance mystique exeptionnelle</t>
  </si>
  <si>
    <t>Biens de départ</t>
  </si>
  <si>
    <t>Affinité avec les animaux</t>
  </si>
  <si>
    <t>Biens de départ 2</t>
  </si>
  <si>
    <t>Biens de départ 3</t>
  </si>
  <si>
    <t>Résistance physique exeptionnelle 2</t>
  </si>
  <si>
    <t>Résistance Psychique exeptionnelle 2</t>
  </si>
  <si>
    <t>Résistance mystique exeptionnelle 2</t>
  </si>
  <si>
    <t>Régénération basique</t>
  </si>
  <si>
    <t>Régénération avancée</t>
  </si>
  <si>
    <t>Régénération majeure</t>
  </si>
  <si>
    <t>Sens aiguisé</t>
  </si>
  <si>
    <t>Ambidextrie</t>
  </si>
  <si>
    <t>Vision nocturne</t>
  </si>
  <si>
    <t>Inquietant</t>
  </si>
  <si>
    <t>Apte dans une compétence 1</t>
  </si>
  <si>
    <t>Apte dans une compétence 2</t>
  </si>
  <si>
    <t>Apte dans une compétence 3</t>
  </si>
  <si>
    <t>Homme à tout faire</t>
  </si>
  <si>
    <t>Chance</t>
  </si>
  <si>
    <t>Bonne fortune</t>
  </si>
  <si>
    <t>Apte dans un champ de compétences</t>
  </si>
  <si>
    <t>Apprentissage naturel 1</t>
  </si>
  <si>
    <t>apprentissage naturel 2</t>
  </si>
  <si>
    <t>Apprentissage naturel 3</t>
  </si>
  <si>
    <t>Apprentissage naturel dans un champ 1</t>
  </si>
  <si>
    <t>Apprentissage naturel dans un champ 2</t>
  </si>
  <si>
    <t>Sommeil leger</t>
  </si>
  <si>
    <t>Charme</t>
  </si>
  <si>
    <t>reflexes rapide 2</t>
  </si>
  <si>
    <t>reflexes rapide 3</t>
  </si>
  <si>
    <t>reflexes rapide 1</t>
  </si>
  <si>
    <t>Taille inhabituelle</t>
  </si>
  <si>
    <t>Sens du danger</t>
  </si>
  <si>
    <t>Armure naturelle</t>
  </si>
  <si>
    <t>Armure mystique</t>
  </si>
  <si>
    <t>Accés a un pouvoir psy unique 1</t>
  </si>
  <si>
    <t>Accés a un pouvoir psy unique 2</t>
  </si>
  <si>
    <t>Accés a un pouvoir psy unique 3</t>
  </si>
  <si>
    <t>immunité à la douleur et à la fatigue</t>
  </si>
  <si>
    <t>Voire le surnaturel</t>
  </si>
  <si>
    <t>Maitre martial 1</t>
  </si>
  <si>
    <t>Maitre martial 2</t>
  </si>
  <si>
    <t>Maitre martial 3</t>
  </si>
  <si>
    <t>Infatigable 1</t>
  </si>
  <si>
    <t>Infatigable 2</t>
  </si>
  <si>
    <t>Infatigable 3</t>
  </si>
  <si>
    <t>Chevronné 1</t>
  </si>
  <si>
    <t>Chevronné 2</t>
  </si>
  <si>
    <t>Chevronné 3</t>
  </si>
  <si>
    <t>Deplacement rapide</t>
  </si>
  <si>
    <t>Artefact 1</t>
  </si>
  <si>
    <t>Artefact 2</t>
  </si>
  <si>
    <t>Artefact 3</t>
  </si>
  <si>
    <t>Récupération du ki 1</t>
  </si>
  <si>
    <t>Récupération du ki 2</t>
  </si>
  <si>
    <t>Récupération du ki 3</t>
  </si>
  <si>
    <t>Elan 1</t>
  </si>
  <si>
    <t>Elan 2</t>
  </si>
  <si>
    <t>Elan 3</t>
  </si>
  <si>
    <t>Apprentissage 1</t>
  </si>
  <si>
    <t>Apprentissage 2</t>
  </si>
  <si>
    <t>Apprentissage 3</t>
  </si>
  <si>
    <t>For+1</t>
  </si>
  <si>
    <t>locaclasse:</t>
  </si>
  <si>
    <t>Cout</t>
  </si>
  <si>
    <t>Paladin</t>
  </si>
  <si>
    <t>Paladin Noir</t>
  </si>
  <si>
    <t>Maitre d'arme</t>
  </si>
  <si>
    <t>Virtuose martial</t>
  </si>
  <si>
    <t>Explorateur</t>
  </si>
  <si>
    <t>Ombre</t>
  </si>
  <si>
    <t>Voleur</t>
  </si>
  <si>
    <t>Assassin</t>
  </si>
  <si>
    <t>Classe:</t>
  </si>
  <si>
    <t>Multiplicateur de vie:</t>
  </si>
  <si>
    <t>Point de vie par niveau:</t>
  </si>
  <si>
    <t>Initiative:</t>
  </si>
  <si>
    <t>Development intérieur</t>
  </si>
  <si>
    <t>PPP innés 1 par : (niveaux)</t>
  </si>
  <si>
    <t>Champs principaux:</t>
  </si>
  <si>
    <t>Limitation champs martial:</t>
  </si>
  <si>
    <t xml:space="preserve">Cout/bonus attaque </t>
  </si>
  <si>
    <t>Cout/ bonus port armure</t>
  </si>
  <si>
    <t>Cout/ bonus esquive</t>
  </si>
  <si>
    <t>KI</t>
  </si>
  <si>
    <t>Accumulation de Ki</t>
  </si>
  <si>
    <t>Limitation mystique:</t>
  </si>
  <si>
    <t>Zeon</t>
  </si>
  <si>
    <t>Multiplicateur d'amr</t>
  </si>
  <si>
    <t>Projection magique</t>
  </si>
  <si>
    <t>Limitation psychique</t>
  </si>
  <si>
    <t>Projection psychique</t>
  </si>
  <si>
    <t>=1D10</t>
  </si>
  <si>
    <t>Cout /bonus parade</t>
  </si>
  <si>
    <t>ZEON par niveau</t>
  </si>
  <si>
    <t>modif voie mag</t>
  </si>
  <si>
    <t>Liste Classe</t>
  </si>
  <si>
    <t>Mémorisation</t>
  </si>
  <si>
    <t>Mage de bataille</t>
  </si>
  <si>
    <t>Illusionniste</t>
  </si>
  <si>
    <t>Sorcier Mentaliste</t>
  </si>
  <si>
    <t>Convocateur</t>
  </si>
  <si>
    <t>Guerrier Convocateur</t>
  </si>
  <si>
    <t>Mentaliste</t>
  </si>
  <si>
    <t>Guerrier Mentaliste</t>
  </si>
  <si>
    <t>Touche à tout</t>
  </si>
  <si>
    <t>Paladin sans magie</t>
  </si>
  <si>
    <t>Paladin Noir sans magie</t>
  </si>
  <si>
    <t>Aptitude compétence</t>
  </si>
  <si>
    <t>Aptitude comp</t>
  </si>
  <si>
    <t>Apte dans une compétence</t>
  </si>
  <si>
    <t>Régénération</t>
  </si>
  <si>
    <t>Aikido</t>
  </si>
  <si>
    <t>Kempo</t>
  </si>
  <si>
    <t>Muay Thai</t>
  </si>
  <si>
    <t>Sambo</t>
  </si>
  <si>
    <t>Tae Kwon Do</t>
  </si>
  <si>
    <t>Capoeira</t>
  </si>
  <si>
    <t>Total Ki</t>
  </si>
  <si>
    <t>Base KI</t>
  </si>
  <si>
    <t>Base ACC KI</t>
  </si>
  <si>
    <t>Total ACC Ki</t>
  </si>
  <si>
    <t>Total :</t>
  </si>
  <si>
    <t>nb d'attache psy:</t>
  </si>
  <si>
    <t>cout</t>
  </si>
  <si>
    <t>nombre d'attache:</t>
  </si>
  <si>
    <t>nb de sort</t>
  </si>
  <si>
    <t>Maitrise martiale:</t>
  </si>
  <si>
    <t>degat de base</t>
  </si>
  <si>
    <t>Armes d'assassin</t>
  </si>
  <si>
    <t>reste:</t>
  </si>
  <si>
    <t>+Niv</t>
  </si>
  <si>
    <t>%</t>
  </si>
  <si>
    <t>Nombre d'action par tour:</t>
  </si>
  <si>
    <t>Nb d'attaque par round:</t>
  </si>
  <si>
    <t>Cout Point de vie</t>
  </si>
  <si>
    <t>Reste:</t>
  </si>
  <si>
    <t>Aptitude champ:</t>
  </si>
  <si>
    <t>Champ restant:</t>
  </si>
  <si>
    <t>Comp Nat</t>
  </si>
  <si>
    <t>Champ nat:</t>
  </si>
  <si>
    <t>Apti. Champ</t>
  </si>
  <si>
    <t>Reflexe rapide</t>
  </si>
  <si>
    <t>Infatigable</t>
  </si>
  <si>
    <t>1/4</t>
  </si>
  <si>
    <t>déplacement rapide</t>
  </si>
  <si>
    <t>Surhumanité(30)</t>
  </si>
  <si>
    <t>Chevronné</t>
  </si>
  <si>
    <t>REGEN PAR JOUR</t>
  </si>
  <si>
    <t>Récupération de magie rapide 1</t>
  </si>
  <si>
    <t>Récupération de magie rapide 2</t>
  </si>
  <si>
    <t>Récupération de magie rapide 3</t>
  </si>
  <si>
    <t>Grand potentiel Magique</t>
  </si>
  <si>
    <t>Connaissance innée d'une voie: Lumière</t>
  </si>
  <si>
    <t>Connaissance innée d'une voie: Obscurité</t>
  </si>
  <si>
    <t>Connaissance innée d'une voie: Création</t>
  </si>
  <si>
    <t>Connaissance innée d'une voie: Destruction</t>
  </si>
  <si>
    <t>Connaissance innée d'une voie: Feu</t>
  </si>
  <si>
    <t>Connaissance innée d'une voie: Eau</t>
  </si>
  <si>
    <t>Connaissance innée d'une voie: Terre</t>
  </si>
  <si>
    <t>Connaissance innée d'une voie: Air</t>
  </si>
  <si>
    <t>Connaissance innée d'une voie: Essence</t>
  </si>
  <si>
    <t>Connaissance innée d'une voie: Illusion</t>
  </si>
  <si>
    <t>Connaissance innée d'une voie: Nécromancie</t>
  </si>
  <si>
    <t>Recuperation rapide  Zeon</t>
  </si>
  <si>
    <t>Magie Innée améliorés 1</t>
  </si>
  <si>
    <t>Magie Innée améliorés 2</t>
  </si>
  <si>
    <t>Magie Innée améliorés 3</t>
  </si>
  <si>
    <t>Magies Inné +</t>
  </si>
  <si>
    <t>Prédilection séphirotique</t>
  </si>
  <si>
    <t>Sorts Renforcés</t>
  </si>
  <si>
    <t>Dispense de Gestes</t>
  </si>
  <si>
    <t>Dispense de Paroles</t>
  </si>
  <si>
    <t>Prédilection Elementaire</t>
  </si>
  <si>
    <t>Viseur Mental</t>
  </si>
  <si>
    <t>Concentration intense</t>
  </si>
  <si>
    <t>Attache psychique renforcée</t>
  </si>
  <si>
    <t>Résistance à la fatigue psychique</t>
  </si>
  <si>
    <t>Récupération des PPP 1</t>
  </si>
  <si>
    <t>Récupération des PPP 2</t>
  </si>
  <si>
    <t>Récupération des PPP 3</t>
  </si>
  <si>
    <t>Préférence Psychique</t>
  </si>
  <si>
    <t>Concentration Passive</t>
  </si>
  <si>
    <t>For -2</t>
  </si>
  <si>
    <t>Myopie</t>
  </si>
  <si>
    <t>Vulnérabilité au poison</t>
  </si>
  <si>
    <t>Posséssion Facilité</t>
  </si>
  <si>
    <t>Vulnérabilité à la magie</t>
  </si>
  <si>
    <t>Vulnérabilité au froid</t>
  </si>
  <si>
    <t>Vulnérabilité à la chaleur</t>
  </si>
  <si>
    <t>Membre atrophié</t>
  </si>
  <si>
    <t>Débilité physique</t>
  </si>
  <si>
    <t>Apparence Désagréable</t>
  </si>
  <si>
    <t>Grave maladie</t>
  </si>
  <si>
    <t>Grave Allergie</t>
  </si>
  <si>
    <t>Sommeil profond</t>
  </si>
  <si>
    <t>Phobie sévere</t>
  </si>
  <si>
    <t>Malchance</t>
  </si>
  <si>
    <t>Infortuné</t>
  </si>
  <si>
    <t>Aveugle</t>
  </si>
  <si>
    <t>Arme exclusive</t>
  </si>
  <si>
    <t>Réaction lente 1</t>
  </si>
  <si>
    <t>Réaction lente 2</t>
  </si>
  <si>
    <t>Addiction grave</t>
  </si>
  <si>
    <t>Apprentissage lent 1</t>
  </si>
  <si>
    <t>Apprentissage lent 2</t>
  </si>
  <si>
    <t>Vulnérabilité à la douleur</t>
  </si>
  <si>
    <t>Epuisement</t>
  </si>
  <si>
    <t>Obligation de paroles</t>
  </si>
  <si>
    <t>Obligation de gestes</t>
  </si>
  <si>
    <t>Exténuation magique</t>
  </si>
  <si>
    <t>Magie soumise à condition</t>
  </si>
  <si>
    <t>Récupération lente de la magie</t>
  </si>
  <si>
    <t>Magie etanche</t>
  </si>
  <si>
    <t>Lien existentiel</t>
  </si>
  <si>
    <t>Sorcellerie</t>
  </si>
  <si>
    <t>Sans concentration</t>
  </si>
  <si>
    <t>Pouvoir unique</t>
  </si>
  <si>
    <t>Exténuation psychique</t>
  </si>
  <si>
    <t>Consommation psychique</t>
  </si>
  <si>
    <t>Adroit</t>
  </si>
  <si>
    <t>bonus naturel accru</t>
  </si>
  <si>
    <t>energie du desespoir</t>
  </si>
  <si>
    <t>Immunité psychique</t>
  </si>
  <si>
    <t>libre arbitre</t>
  </si>
  <si>
    <t>polyvalent</t>
  </si>
  <si>
    <t>sans limite de familiers</t>
  </si>
  <si>
    <t>seducteur</t>
  </si>
  <si>
    <t>survivant</t>
  </si>
  <si>
    <t>sens du combat</t>
  </si>
  <si>
    <t>touche par le destin</t>
  </si>
  <si>
    <t>diction magique</t>
  </si>
  <si>
    <t>magie opposé</t>
  </si>
  <si>
    <t>nature magique 1</t>
  </si>
  <si>
    <t>nature magique 2</t>
  </si>
  <si>
    <t>nature magique 3</t>
  </si>
  <si>
    <t>Pouvoir naturel</t>
  </si>
  <si>
    <t>gande vitalité 1</t>
  </si>
  <si>
    <t>gande vitalité 2</t>
  </si>
  <si>
    <t>gande vitalité 3</t>
  </si>
  <si>
    <t>immunité surnaturel 1</t>
  </si>
  <si>
    <t>immunité surnaturel 2</t>
  </si>
  <si>
    <t>immunité surnaturel 3</t>
  </si>
  <si>
    <t>ambivalence psychique</t>
  </si>
  <si>
    <t>modificateur physique accru</t>
  </si>
  <si>
    <t>Bleu</t>
  </si>
  <si>
    <t>Couard</t>
  </si>
  <si>
    <t>Destin funeste</t>
  </si>
  <si>
    <t>Faible</t>
  </si>
  <si>
    <t>insuportable</t>
  </si>
  <si>
    <t>maladroit</t>
  </si>
  <si>
    <t>Maudit 1</t>
  </si>
  <si>
    <t>Maudit 2</t>
  </si>
  <si>
    <t>Sans bonus naturel</t>
  </si>
  <si>
    <t>utilisation d'armure 1</t>
  </si>
  <si>
    <t>utilisation d'armure 2</t>
  </si>
  <si>
    <t>utilisation d'armure 3</t>
  </si>
  <si>
    <t>Int -2</t>
  </si>
  <si>
    <t>Agi -2</t>
  </si>
  <si>
    <t>Dex -2</t>
  </si>
  <si>
    <t>Con -2</t>
  </si>
  <si>
    <t>Pou -2</t>
  </si>
  <si>
    <t>Vol -2</t>
  </si>
  <si>
    <t>Per -2</t>
  </si>
  <si>
    <t>Mauvaise santé</t>
  </si>
  <si>
    <t>bonus nat sup</t>
  </si>
  <si>
    <t>Grande vitalité</t>
  </si>
  <si>
    <t>Sens du combat</t>
  </si>
  <si>
    <t>Utilisation d'armure</t>
  </si>
  <si>
    <t>Magie opposée</t>
  </si>
  <si>
    <t>Nature magique</t>
  </si>
  <si>
    <t>Vulnerable au poison</t>
  </si>
  <si>
    <t>Guérison lente</t>
  </si>
  <si>
    <t>Vulnerable a la magie</t>
  </si>
  <si>
    <t>Apte ds un champ</t>
  </si>
  <si>
    <t>Competence naturel</t>
  </si>
  <si>
    <t>Champ naturel</t>
  </si>
  <si>
    <t>Apparence désagréable</t>
  </si>
  <si>
    <t>recup lente de magie</t>
  </si>
  <si>
    <t>Attaque suplémentaire</t>
  </si>
  <si>
    <t>Cible Mouvante</t>
  </si>
  <si>
    <t>Cibles multiples</t>
  </si>
  <si>
    <t>Combat en aveugle</t>
  </si>
  <si>
    <t>defense contre les projectiles</t>
  </si>
  <si>
    <t>Deviation</t>
  </si>
  <si>
    <t>Reduction d'armure</t>
  </si>
  <si>
    <t>Tir en mouvement</t>
  </si>
  <si>
    <t>Santé mental</t>
  </si>
  <si>
    <t>Seuil de folie</t>
  </si>
  <si>
    <t>Iai Jutsu / BattoJutsu</t>
  </si>
  <si>
    <t>COMPETENCE</t>
  </si>
  <si>
    <t>COUT</t>
  </si>
  <si>
    <t>CAR</t>
  </si>
  <si>
    <t>TOT</t>
  </si>
  <si>
    <t>TECHNIQUE</t>
  </si>
  <si>
    <t>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</si>
</sst>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20" borderId="15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0" fillId="20" borderId="2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18" borderId="23" xfId="0" applyFill="1" applyBorder="1" applyAlignment="1">
      <alignment horizontal="center"/>
    </xf>
    <xf numFmtId="0" fontId="0" fillId="18" borderId="24" xfId="0" applyFill="1" applyBorder="1" applyAlignment="1">
      <alignment horizontal="center"/>
    </xf>
    <xf numFmtId="0" fontId="0" fillId="18" borderId="25" xfId="0" applyFill="1" applyBorder="1" applyAlignment="1">
      <alignment horizontal="center"/>
    </xf>
    <xf numFmtId="0" fontId="0" fillId="18" borderId="11" xfId="0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0" fillId="24" borderId="11" xfId="0" applyNumberFormat="1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2" fillId="20" borderId="20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2" fillId="20" borderId="27" xfId="0" applyFont="1" applyFill="1" applyBorder="1" applyAlignment="1">
      <alignment/>
    </xf>
    <xf numFmtId="0" fontId="2" fillId="20" borderId="15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4" borderId="14" xfId="0" applyFill="1" applyBorder="1" applyAlignment="1">
      <alignment horizontal="center"/>
    </xf>
    <xf numFmtId="0" fontId="2" fillId="20" borderId="22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8" borderId="19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0" fillId="24" borderId="28" xfId="0" applyNumberFormat="1" applyFill="1" applyBorder="1" applyAlignment="1">
      <alignment horizontal="center"/>
    </xf>
    <xf numFmtId="0" fontId="0" fillId="24" borderId="21" xfId="0" applyNumberFormat="1" applyFill="1" applyBorder="1" applyAlignment="1">
      <alignment horizontal="center"/>
    </xf>
    <xf numFmtId="0" fontId="0" fillId="24" borderId="22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20" borderId="28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2" fillId="20" borderId="21" xfId="0" applyFont="1" applyFill="1" applyBorder="1" applyAlignment="1">
      <alignment/>
    </xf>
    <xf numFmtId="0" fontId="2" fillId="20" borderId="28" xfId="0" applyFont="1" applyFill="1" applyBorder="1" applyAlignment="1">
      <alignment/>
    </xf>
    <xf numFmtId="0" fontId="0" fillId="0" borderId="26" xfId="0" applyBorder="1" applyAlignment="1">
      <alignment/>
    </xf>
    <xf numFmtId="0" fontId="0" fillId="24" borderId="28" xfId="0" applyFont="1" applyFill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0" borderId="19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2" fillId="20" borderId="26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20" borderId="27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24" borderId="13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0" fontId="0" fillId="20" borderId="13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2" fillId="20" borderId="22" xfId="0" applyFont="1" applyFill="1" applyBorder="1" applyAlignment="1">
      <alignment horizontal="center"/>
    </xf>
    <xf numFmtId="0" fontId="0" fillId="18" borderId="21" xfId="0" applyFont="1" applyFill="1" applyBorder="1" applyAlignment="1">
      <alignment horizontal="center"/>
    </xf>
    <xf numFmtId="0" fontId="0" fillId="18" borderId="22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24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20" borderId="11" xfId="0" applyFont="1" applyFill="1" applyBorder="1" applyAlignment="1">
      <alignment horizontal="center"/>
    </xf>
    <xf numFmtId="0" fontId="2" fillId="18" borderId="15" xfId="0" applyFont="1" applyFill="1" applyBorder="1" applyAlignment="1">
      <alignment horizontal="center"/>
    </xf>
    <xf numFmtId="0" fontId="2" fillId="18" borderId="21" xfId="0" applyFont="1" applyFill="1" applyBorder="1" applyAlignment="1">
      <alignment horizontal="center"/>
    </xf>
    <xf numFmtId="0" fontId="2" fillId="18" borderId="22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18" borderId="15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18" borderId="22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2" fillId="20" borderId="21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0" fillId="18" borderId="14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20" borderId="20" xfId="0" applyFont="1" applyFill="1" applyBorder="1" applyAlignment="1" quotePrefix="1">
      <alignment horizontal="center"/>
    </xf>
    <xf numFmtId="17" fontId="2" fillId="20" borderId="20" xfId="0" applyNumberFormat="1" applyFont="1" applyFill="1" applyBorder="1" applyAlignment="1" quotePrefix="1">
      <alignment horizontal="center"/>
    </xf>
    <xf numFmtId="0" fontId="2" fillId="20" borderId="15" xfId="0" applyFont="1" applyFill="1" applyBorder="1" applyAlignment="1" quotePrefix="1">
      <alignment horizontal="center"/>
    </xf>
    <xf numFmtId="0" fontId="0" fillId="24" borderId="26" xfId="0" applyFont="1" applyFill="1" applyBorder="1" applyAlignment="1">
      <alignment horizontal="center"/>
    </xf>
    <xf numFmtId="0" fontId="2" fillId="18" borderId="28" xfId="0" applyFont="1" applyFill="1" applyBorder="1" applyAlignment="1">
      <alignment horizontal="center"/>
    </xf>
    <xf numFmtId="0" fontId="0" fillId="18" borderId="19" xfId="0" applyFont="1" applyFill="1" applyBorder="1" applyAlignment="1">
      <alignment horizontal="center"/>
    </xf>
    <xf numFmtId="0" fontId="0" fillId="18" borderId="29" xfId="0" applyFont="1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0" fillId="18" borderId="30" xfId="0" applyFont="1" applyFill="1" applyBorder="1" applyAlignment="1">
      <alignment horizontal="center"/>
    </xf>
    <xf numFmtId="0" fontId="0" fillId="18" borderId="0" xfId="0" applyFont="1" applyFill="1" applyBorder="1" applyAlignment="1">
      <alignment horizontal="center"/>
    </xf>
    <xf numFmtId="0" fontId="0" fillId="18" borderId="12" xfId="0" applyFont="1" applyFill="1" applyBorder="1" applyAlignment="1">
      <alignment horizontal="center"/>
    </xf>
    <xf numFmtId="0" fontId="0" fillId="18" borderId="15" xfId="0" applyFont="1" applyFill="1" applyBorder="1" applyAlignment="1">
      <alignment horizontal="center"/>
    </xf>
    <xf numFmtId="0" fontId="0" fillId="18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18" borderId="29" xfId="0" applyFill="1" applyBorder="1" applyAlignment="1">
      <alignment horizontal="center"/>
    </xf>
    <xf numFmtId="0" fontId="0" fillId="18" borderId="30" xfId="0" applyFill="1" applyBorder="1" applyAlignment="1">
      <alignment horizontal="center"/>
    </xf>
    <xf numFmtId="0" fontId="0" fillId="20" borderId="28" xfId="0" applyFont="1" applyFill="1" applyBorder="1" applyAlignment="1">
      <alignment horizontal="center"/>
    </xf>
    <xf numFmtId="0" fontId="0" fillId="20" borderId="21" xfId="0" applyFont="1" applyFill="1" applyBorder="1" applyAlignment="1">
      <alignment horizontal="center"/>
    </xf>
    <xf numFmtId="0" fontId="0" fillId="2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18" borderId="10" xfId="0" applyFont="1" applyFill="1" applyBorder="1" applyAlignment="1">
      <alignment horizontal="center"/>
    </xf>
    <xf numFmtId="0" fontId="2" fillId="20" borderId="0" xfId="0" applyFont="1" applyFill="1" applyBorder="1" applyAlignment="1">
      <alignment horizontal="left"/>
    </xf>
    <xf numFmtId="0" fontId="2" fillId="20" borderId="19" xfId="0" applyFont="1" applyFill="1" applyBorder="1" applyAlignment="1">
      <alignment horizontal="left"/>
    </xf>
    <xf numFmtId="0" fontId="2" fillId="20" borderId="19" xfId="0" applyFont="1" applyFill="1" applyBorder="1" applyAlignment="1">
      <alignment horizontal="center"/>
    </xf>
    <xf numFmtId="0" fontId="2" fillId="20" borderId="15" xfId="0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/>
    </xf>
    <xf numFmtId="0" fontId="2" fillId="20" borderId="15" xfId="0" applyFont="1" applyFill="1" applyBorder="1" applyAlignment="1">
      <alignment horizontal="left"/>
    </xf>
    <xf numFmtId="0" fontId="0" fillId="18" borderId="26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0" borderId="0" xfId="0" applyFont="1" applyFill="1" applyBorder="1" applyAlignment="1">
      <alignment horizontal="center"/>
    </xf>
    <xf numFmtId="0" fontId="0" fillId="20" borderId="28" xfId="0" applyFill="1" applyBorder="1" applyAlignment="1">
      <alignment/>
    </xf>
    <xf numFmtId="0" fontId="2" fillId="20" borderId="26" xfId="0" applyFont="1" applyFill="1" applyBorder="1" applyAlignment="1">
      <alignment/>
    </xf>
    <xf numFmtId="0" fontId="2" fillId="20" borderId="19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 applyProtection="1">
      <alignment/>
      <protection/>
    </xf>
    <xf numFmtId="0" fontId="2" fillId="20" borderId="15" xfId="0" applyFont="1" applyFill="1" applyBorder="1" applyAlignment="1" applyProtection="1">
      <alignment horizontal="center"/>
      <protection/>
    </xf>
    <xf numFmtId="0" fontId="2" fillId="20" borderId="14" xfId="0" applyFont="1" applyFill="1" applyBorder="1" applyAlignment="1" applyProtection="1">
      <alignment horizontal="center"/>
      <protection/>
    </xf>
    <xf numFmtId="0" fontId="0" fillId="20" borderId="21" xfId="0" applyFont="1" applyFill="1" applyBorder="1" applyAlignment="1" applyProtection="1">
      <alignment horizontal="center"/>
      <protection/>
    </xf>
    <xf numFmtId="0" fontId="0" fillId="20" borderId="11" xfId="0" applyFont="1" applyFill="1" applyBorder="1" applyAlignment="1" applyProtection="1">
      <alignment horizontal="center"/>
      <protection/>
    </xf>
    <xf numFmtId="0" fontId="0" fillId="20" borderId="22" xfId="0" applyFont="1" applyFill="1" applyBorder="1" applyAlignment="1" applyProtection="1">
      <alignment horizontal="center"/>
      <protection/>
    </xf>
    <xf numFmtId="0" fontId="0" fillId="20" borderId="13" xfId="0" applyFont="1" applyFill="1" applyBorder="1" applyAlignment="1" applyProtection="1">
      <alignment horizontal="center"/>
      <protection/>
    </xf>
    <xf numFmtId="0" fontId="0" fillId="20" borderId="28" xfId="0" applyFont="1" applyFill="1" applyBorder="1" applyAlignment="1" applyProtection="1">
      <alignment horizontal="center"/>
      <protection/>
    </xf>
    <xf numFmtId="0" fontId="0" fillId="20" borderId="26" xfId="0" applyFont="1" applyFill="1" applyBorder="1" applyAlignment="1" applyProtection="1">
      <alignment horizontal="center"/>
      <protection/>
    </xf>
    <xf numFmtId="0" fontId="0" fillId="20" borderId="28" xfId="0" applyFill="1" applyBorder="1" applyAlignment="1" applyProtection="1">
      <alignment horizontal="center"/>
      <protection/>
    </xf>
    <xf numFmtId="0" fontId="0" fillId="20" borderId="21" xfId="0" applyFill="1" applyBorder="1" applyAlignment="1" applyProtection="1">
      <alignment horizontal="center"/>
      <protection/>
    </xf>
    <xf numFmtId="0" fontId="0" fillId="20" borderId="0" xfId="0" applyFill="1" applyBorder="1" applyAlignment="1" applyProtection="1">
      <alignment horizontal="center"/>
      <protection/>
    </xf>
    <xf numFmtId="0" fontId="0" fillId="20" borderId="22" xfId="0" applyFill="1" applyBorder="1" applyAlignment="1" applyProtection="1">
      <alignment horizontal="center"/>
      <protection/>
    </xf>
    <xf numFmtId="0" fontId="0" fillId="20" borderId="19" xfId="0" applyFill="1" applyBorder="1" applyAlignment="1" applyProtection="1">
      <alignment horizontal="center"/>
      <protection/>
    </xf>
    <xf numFmtId="0" fontId="0" fillId="20" borderId="12" xfId="0" applyFill="1" applyBorder="1" applyAlignment="1" applyProtection="1">
      <alignment horizontal="center"/>
      <protection/>
    </xf>
    <xf numFmtId="0" fontId="0" fillId="20" borderId="19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0" fillId="20" borderId="12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0" fontId="0" fillId="20" borderId="21" xfId="0" applyFill="1" applyBorder="1" applyAlignment="1">
      <alignment/>
    </xf>
    <xf numFmtId="0" fontId="0" fillId="20" borderId="22" xfId="0" applyFill="1" applyBorder="1" applyAlignment="1">
      <alignment/>
    </xf>
    <xf numFmtId="0" fontId="0" fillId="20" borderId="15" xfId="0" applyFill="1" applyBorder="1" applyAlignment="1">
      <alignment/>
    </xf>
    <xf numFmtId="0" fontId="2" fillId="20" borderId="29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 quotePrefix="1">
      <alignment/>
    </xf>
    <xf numFmtId="0" fontId="0" fillId="18" borderId="28" xfId="0" applyFill="1" applyBorder="1" applyAlignment="1">
      <alignment horizontal="center"/>
    </xf>
    <xf numFmtId="0" fontId="0" fillId="18" borderId="21" xfId="0" applyFill="1" applyBorder="1" applyAlignment="1">
      <alignment horizontal="center"/>
    </xf>
    <xf numFmtId="0" fontId="0" fillId="24" borderId="26" xfId="0" applyNumberFormat="1" applyFill="1" applyBorder="1" applyAlignment="1">
      <alignment horizontal="center"/>
    </xf>
    <xf numFmtId="0" fontId="0" fillId="24" borderId="13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0" fontId="0" fillId="18" borderId="13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20" borderId="15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2" fillId="23" borderId="14" xfId="0" applyFont="1" applyFill="1" applyBorder="1" applyAlignment="1">
      <alignment horizontal="center"/>
    </xf>
    <xf numFmtId="0" fontId="2" fillId="20" borderId="28" xfId="0" applyFont="1" applyFill="1" applyBorder="1" applyAlignment="1" quotePrefix="1">
      <alignment horizontal="center"/>
    </xf>
    <xf numFmtId="0" fontId="0" fillId="24" borderId="31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18" borderId="15" xfId="0" applyFont="1" applyFill="1" applyBorder="1" applyAlignment="1">
      <alignment horizontal="center"/>
    </xf>
    <xf numFmtId="0" fontId="2" fillId="20" borderId="12" xfId="0" applyFont="1" applyFill="1" applyBorder="1" applyAlignment="1">
      <alignment/>
    </xf>
    <xf numFmtId="0" fontId="0" fillId="18" borderId="16" xfId="0" applyFill="1" applyBorder="1" applyAlignment="1">
      <alignment horizontal="center"/>
    </xf>
    <xf numFmtId="0" fontId="0" fillId="18" borderId="17" xfId="0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10" borderId="15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20" borderId="27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24" borderId="15" xfId="0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0" fontId="0" fillId="24" borderId="15" xfId="0" applyFill="1" applyBorder="1" applyAlignment="1">
      <alignment horizontal="center" vertical="center"/>
    </xf>
    <xf numFmtId="0" fontId="2" fillId="20" borderId="15" xfId="0" applyFont="1" applyFill="1" applyBorder="1" applyAlignment="1" quotePrefix="1">
      <alignment/>
    </xf>
    <xf numFmtId="0" fontId="0" fillId="24" borderId="15" xfId="0" applyFill="1" applyBorder="1" applyAlignment="1" quotePrefix="1">
      <alignment horizontal="center"/>
    </xf>
    <xf numFmtId="0" fontId="2" fillId="23" borderId="15" xfId="0" applyFont="1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36" xfId="0" applyFill="1" applyBorder="1" applyAlignment="1">
      <alignment horizontal="center"/>
    </xf>
    <xf numFmtId="16" fontId="2" fillId="20" borderId="14" xfId="0" applyNumberFormat="1" applyFont="1" applyFill="1" applyBorder="1" applyAlignment="1" quotePrefix="1">
      <alignment horizontal="center"/>
    </xf>
    <xf numFmtId="0" fontId="2" fillId="20" borderId="29" xfId="0" applyFont="1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2" fillId="20" borderId="26" xfId="0" applyNumberFormat="1" applyFont="1" applyFill="1" applyBorder="1" applyAlignment="1">
      <alignment horizontal="center"/>
    </xf>
    <xf numFmtId="0" fontId="0" fillId="20" borderId="22" xfId="0" applyFill="1" applyBorder="1" applyAlignment="1" quotePrefix="1">
      <alignment horizontal="center"/>
    </xf>
    <xf numFmtId="0" fontId="0" fillId="24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18" borderId="24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/>
    </xf>
    <xf numFmtId="0" fontId="2" fillId="20" borderId="24" xfId="0" applyFont="1" applyFill="1" applyBorder="1" applyAlignment="1">
      <alignment horizontal="center"/>
    </xf>
    <xf numFmtId="0" fontId="2" fillId="20" borderId="25" xfId="0" applyFont="1" applyFill="1" applyBorder="1" applyAlignment="1">
      <alignment horizontal="center"/>
    </xf>
    <xf numFmtId="0" fontId="0" fillId="20" borderId="15" xfId="0" applyFill="1" applyBorder="1" applyAlignment="1" applyProtection="1">
      <alignment horizontal="center"/>
      <protection/>
    </xf>
    <xf numFmtId="0" fontId="0" fillId="20" borderId="26" xfId="0" applyFont="1" applyFill="1" applyBorder="1" applyAlignment="1" applyProtection="1">
      <alignment horizontal="center"/>
      <protection/>
    </xf>
    <xf numFmtId="0" fontId="0" fillId="20" borderId="27" xfId="0" applyFill="1" applyBorder="1" applyAlignment="1" applyProtection="1">
      <alignment horizontal="center"/>
      <protection/>
    </xf>
    <xf numFmtId="0" fontId="0" fillId="20" borderId="14" xfId="0" applyFill="1" applyBorder="1" applyAlignment="1" applyProtection="1">
      <alignment horizontal="center"/>
      <protection/>
    </xf>
    <xf numFmtId="0" fontId="0" fillId="20" borderId="27" xfId="0" applyFont="1" applyFill="1" applyBorder="1" applyAlignment="1" applyProtection="1">
      <alignment horizontal="center"/>
      <protection/>
    </xf>
    <xf numFmtId="0" fontId="0" fillId="20" borderId="1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20" borderId="12" xfId="0" applyFill="1" applyBorder="1" applyAlignment="1" applyProtection="1">
      <alignment horizontal="center"/>
      <protection/>
    </xf>
    <xf numFmtId="0" fontId="0" fillId="20" borderId="10" xfId="0" applyFill="1" applyBorder="1" applyAlignment="1" applyProtection="1">
      <alignment horizontal="center"/>
      <protection/>
    </xf>
    <xf numFmtId="0" fontId="0" fillId="20" borderId="0" xfId="0" applyFill="1" applyBorder="1" applyAlignment="1" applyProtection="1">
      <alignment horizontal="center"/>
      <protection/>
    </xf>
    <xf numFmtId="0" fontId="0" fillId="20" borderId="20" xfId="0" applyFill="1" applyBorder="1" applyAlignment="1" applyProtection="1">
      <alignment horizontal="center"/>
      <protection/>
    </xf>
    <xf numFmtId="0" fontId="0" fillId="20" borderId="29" xfId="0" applyFill="1" applyBorder="1" applyAlignment="1" applyProtection="1">
      <alignment horizontal="center"/>
      <protection/>
    </xf>
    <xf numFmtId="0" fontId="0" fillId="20" borderId="19" xfId="0" applyFill="1" applyBorder="1" applyAlignment="1" applyProtection="1">
      <alignment horizontal="center"/>
      <protection/>
    </xf>
    <xf numFmtId="0" fontId="0" fillId="20" borderId="20" xfId="0" applyFont="1" applyFill="1" applyBorder="1" applyAlignment="1" applyProtection="1">
      <alignment horizontal="center"/>
      <protection/>
    </xf>
    <xf numFmtId="0" fontId="0" fillId="20" borderId="14" xfId="0" applyFill="1" applyBorder="1" applyAlignment="1">
      <alignment horizontal="center"/>
    </xf>
    <xf numFmtId="0" fontId="2" fillId="23" borderId="27" xfId="0" applyFont="1" applyFill="1" applyBorder="1" applyAlignment="1">
      <alignment horizontal="center"/>
    </xf>
    <xf numFmtId="0" fontId="2" fillId="23" borderId="20" xfId="0" applyFont="1" applyFill="1" applyBorder="1" applyAlignment="1">
      <alignment horizontal="center"/>
    </xf>
    <xf numFmtId="0" fontId="2" fillId="23" borderId="14" xfId="0" applyFont="1" applyFill="1" applyBorder="1" applyAlignment="1">
      <alignment horizontal="center"/>
    </xf>
    <xf numFmtId="0" fontId="2" fillId="20" borderId="27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0" borderId="26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right"/>
    </xf>
    <xf numFmtId="0" fontId="2" fillId="20" borderId="11" xfId="0" applyFont="1" applyFill="1" applyBorder="1" applyAlignment="1">
      <alignment horizontal="right"/>
    </xf>
    <xf numFmtId="0" fontId="2" fillId="20" borderId="12" xfId="0" applyFont="1" applyFill="1" applyBorder="1" applyAlignment="1">
      <alignment horizontal="right"/>
    </xf>
    <xf numFmtId="0" fontId="2" fillId="20" borderId="13" xfId="0" applyFont="1" applyFill="1" applyBorder="1" applyAlignment="1">
      <alignment horizontal="right"/>
    </xf>
    <xf numFmtId="0" fontId="2" fillId="20" borderId="0" xfId="0" applyFont="1" applyFill="1" applyBorder="1" applyAlignment="1">
      <alignment horizontal="right"/>
    </xf>
    <xf numFmtId="0" fontId="2" fillId="20" borderId="29" xfId="0" applyFont="1" applyFill="1" applyBorder="1" applyAlignment="1">
      <alignment horizontal="left"/>
    </xf>
    <xf numFmtId="0" fontId="2" fillId="20" borderId="26" xfId="0" applyFont="1" applyFill="1" applyBorder="1" applyAlignment="1">
      <alignment horizontal="left"/>
    </xf>
    <xf numFmtId="0" fontId="2" fillId="20" borderId="19" xfId="0" applyFont="1" applyFill="1" applyBorder="1" applyAlignment="1">
      <alignment horizontal="left"/>
    </xf>
    <xf numFmtId="0" fontId="0" fillId="24" borderId="2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20" borderId="30" xfId="0" applyFill="1" applyBorder="1" applyAlignment="1" applyProtection="1">
      <alignment horizontal="center"/>
      <protection/>
    </xf>
    <xf numFmtId="0" fontId="0" fillId="20" borderId="13" xfId="0" applyFill="1" applyBorder="1" applyAlignment="1" applyProtection="1">
      <alignment horizontal="center"/>
      <protection/>
    </xf>
    <xf numFmtId="0" fontId="0" fillId="20" borderId="29" xfId="0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D46"/>
  <sheetViews>
    <sheetView tabSelected="1" zoomScale="90" zoomScaleNormal="90" zoomScalePageLayoutView="0" workbookViewId="0" topLeftCell="A1">
      <selection activeCell="L4" sqref="L4"/>
    </sheetView>
  </sheetViews>
  <sheetFormatPr defaultColWidth="11.421875" defaultRowHeight="12.75"/>
  <cols>
    <col min="1" max="1" width="4.7109375" style="0" customWidth="1"/>
    <col min="2" max="2" width="13.28125" style="156" bestFit="1" customWidth="1"/>
    <col min="3" max="3" width="21.421875" style="0" bestFit="1" customWidth="1"/>
    <col min="4" max="4" width="6.00390625" style="0" bestFit="1" customWidth="1"/>
    <col min="5" max="5" width="5.7109375" style="0" bestFit="1" customWidth="1"/>
    <col min="6" max="6" width="7.00390625" style="0" bestFit="1" customWidth="1"/>
    <col min="7" max="7" width="5.7109375" style="0" bestFit="1" customWidth="1"/>
    <col min="8" max="8" width="9.00390625" style="0" bestFit="1" customWidth="1"/>
    <col min="9" max="9" width="5.00390625" style="0" bestFit="1" customWidth="1"/>
    <col min="10" max="10" width="6.421875" style="0" bestFit="1" customWidth="1"/>
    <col min="11" max="11" width="21.421875" style="0" hidden="1" customWidth="1"/>
    <col min="13" max="13" width="13.8515625" style="0" customWidth="1"/>
    <col min="14" max="14" width="2.7109375" style="0" customWidth="1"/>
  </cols>
  <sheetData>
    <row r="1" spans="2:15" ht="13.5" thickBot="1">
      <c r="B1" s="14" t="s">
        <v>42</v>
      </c>
      <c r="C1" s="99"/>
      <c r="D1" s="14" t="s">
        <v>45</v>
      </c>
      <c r="E1" s="99"/>
      <c r="H1" s="292" t="s">
        <v>31</v>
      </c>
      <c r="I1" s="294"/>
      <c r="K1" s="14" t="s">
        <v>401</v>
      </c>
      <c r="M1" s="35"/>
      <c r="N1" s="35"/>
      <c r="O1" s="35"/>
    </row>
    <row r="2" spans="2:56" ht="13.5" thickBot="1">
      <c r="B2" s="93" t="s">
        <v>43</v>
      </c>
      <c r="C2" s="76" t="s">
        <v>410</v>
      </c>
      <c r="D2" s="93" t="s">
        <v>35</v>
      </c>
      <c r="E2" s="28">
        <v>1</v>
      </c>
      <c r="H2" s="104" t="s">
        <v>32</v>
      </c>
      <c r="I2" s="11">
        <f>20+10*C10+F10</f>
        <v>70</v>
      </c>
      <c r="K2" s="57" t="s">
        <v>12</v>
      </c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</row>
    <row r="3" spans="2:15" ht="13.5" thickBot="1">
      <c r="B3" s="93" t="s">
        <v>17</v>
      </c>
      <c r="C3" s="12">
        <f>600+(E2-1)*100+Avantage!D47</f>
        <v>600</v>
      </c>
      <c r="D3" s="93" t="s">
        <v>16</v>
      </c>
      <c r="E3" s="12">
        <f>C3-G18-G19-G20-'Compétence secondaire'!D67-I7</f>
        <v>600</v>
      </c>
      <c r="H3" s="112" t="s">
        <v>43</v>
      </c>
      <c r="I3" s="11">
        <f>('Description classe'!C54+Avantage!B61)*E2</f>
        <v>5</v>
      </c>
      <c r="K3" s="22" t="s">
        <v>279</v>
      </c>
      <c r="M3" s="35"/>
      <c r="N3" s="35"/>
      <c r="O3" s="35"/>
    </row>
    <row r="4" spans="2:18" ht="13.5" thickBot="1">
      <c r="B4" s="93" t="s">
        <v>239</v>
      </c>
      <c r="C4" s="12">
        <f>Avantage!C10</f>
        <v>3</v>
      </c>
      <c r="D4" s="43"/>
      <c r="E4" s="5"/>
      <c r="H4" s="112" t="s">
        <v>46</v>
      </c>
      <c r="I4" s="27">
        <v>0</v>
      </c>
      <c r="K4" s="22" t="s">
        <v>370</v>
      </c>
      <c r="M4" s="37"/>
      <c r="N4" s="37"/>
      <c r="O4" s="37"/>
      <c r="P4" s="2"/>
      <c r="Q4" s="2"/>
      <c r="R4" s="2"/>
    </row>
    <row r="5" spans="8:18" ht="13.5" thickBot="1">
      <c r="H5" s="93" t="s">
        <v>133</v>
      </c>
      <c r="I5" s="12">
        <f>'Description classe'!C53</f>
        <v>20</v>
      </c>
      <c r="K5" s="22" t="s">
        <v>371</v>
      </c>
      <c r="M5" s="37"/>
      <c r="N5" s="37"/>
      <c r="O5" s="37"/>
      <c r="P5" s="2"/>
      <c r="Q5" s="2"/>
      <c r="R5" s="2"/>
    </row>
    <row r="6" spans="3:18" ht="13.5" thickBot="1">
      <c r="C6" s="14" t="s">
        <v>8</v>
      </c>
      <c r="D6" s="14" t="s">
        <v>10</v>
      </c>
      <c r="E6" s="104" t="s">
        <v>9</v>
      </c>
      <c r="F6" s="14" t="s">
        <v>11</v>
      </c>
      <c r="G6" s="224" t="s">
        <v>436</v>
      </c>
      <c r="H6" s="14" t="s">
        <v>9</v>
      </c>
      <c r="I6" s="41">
        <f>I2+I3+I4*C10</f>
        <v>75</v>
      </c>
      <c r="K6" s="22" t="s">
        <v>372</v>
      </c>
      <c r="M6" s="38"/>
      <c r="N6" s="37"/>
      <c r="O6" s="37"/>
      <c r="P6" s="37"/>
      <c r="Q6" s="2"/>
      <c r="R6" s="2"/>
    </row>
    <row r="7" spans="2:18" ht="13.5" thickBot="1">
      <c r="B7" s="15" t="s">
        <v>1</v>
      </c>
      <c r="C7" s="24">
        <v>5</v>
      </c>
      <c r="D7" s="229">
        <f>IF((Avantage!B29+C7)&lt;12,Avantage!B29,0)+Avantage!D29</f>
        <v>0</v>
      </c>
      <c r="E7" s="229">
        <f>C7+D7+G7</f>
        <v>5</v>
      </c>
      <c r="F7" s="226" t="str">
        <f aca="true" t="shared" si="0" ref="F7:F14">bonuscarac(E7)</f>
        <v>0</v>
      </c>
      <c r="G7" s="232">
        <v>0</v>
      </c>
      <c r="H7" s="223" t="s">
        <v>283</v>
      </c>
      <c r="I7" s="61">
        <f>I4*I5</f>
        <v>0</v>
      </c>
      <c r="K7" s="22" t="s">
        <v>373</v>
      </c>
      <c r="M7" s="38"/>
      <c r="N7" s="37"/>
      <c r="O7" s="38"/>
      <c r="P7" s="38"/>
      <c r="Q7" s="2"/>
      <c r="R7" s="2"/>
    </row>
    <row r="8" spans="2:18" ht="12.75">
      <c r="B8" s="16" t="s">
        <v>2</v>
      </c>
      <c r="C8" s="25">
        <v>5</v>
      </c>
      <c r="D8" s="221">
        <f>IF((Avantage!B28+C8)&lt;12,Avantage!B28,0)+Avantage!D28</f>
        <v>0</v>
      </c>
      <c r="E8" s="221">
        <f aca="true" t="shared" si="1" ref="E8:E14">C8+D8+G8</f>
        <v>5</v>
      </c>
      <c r="F8" s="227" t="str">
        <f t="shared" si="0"/>
        <v>0</v>
      </c>
      <c r="G8" s="233">
        <v>0</v>
      </c>
      <c r="K8" s="22" t="s">
        <v>91</v>
      </c>
      <c r="M8" s="38"/>
      <c r="N8" s="37"/>
      <c r="O8" s="38"/>
      <c r="P8" s="38"/>
      <c r="Q8" s="2"/>
      <c r="R8" s="2"/>
    </row>
    <row r="9" spans="2:18" ht="12.75">
      <c r="B9" s="16" t="s">
        <v>0</v>
      </c>
      <c r="C9" s="25">
        <v>5</v>
      </c>
      <c r="D9" s="221">
        <f>IF((Avantage!B27+C9)&lt;12,Avantage!B27,0)+Avantage!D27</f>
        <v>0</v>
      </c>
      <c r="E9" s="221">
        <f t="shared" si="1"/>
        <v>5</v>
      </c>
      <c r="F9" s="227" t="str">
        <f t="shared" si="0"/>
        <v>0</v>
      </c>
      <c r="G9" s="233">
        <v>0</v>
      </c>
      <c r="H9" s="37"/>
      <c r="I9" s="37"/>
      <c r="K9" s="22" t="s">
        <v>374</v>
      </c>
      <c r="M9" s="38"/>
      <c r="N9" s="37"/>
      <c r="O9" s="38"/>
      <c r="P9" s="38"/>
      <c r="Q9" s="2"/>
      <c r="R9" s="2"/>
    </row>
    <row r="10" spans="2:18" ht="12.75">
      <c r="B10" s="16" t="s">
        <v>3</v>
      </c>
      <c r="C10" s="25">
        <v>5</v>
      </c>
      <c r="D10" s="221">
        <f>IF((Avantage!B30+C10)&lt;12,Avantage!B30,0)+Avantage!D30</f>
        <v>0</v>
      </c>
      <c r="E10" s="221">
        <f t="shared" si="1"/>
        <v>5</v>
      </c>
      <c r="F10" s="227" t="str">
        <f t="shared" si="0"/>
        <v>0</v>
      </c>
      <c r="G10" s="233">
        <v>0</v>
      </c>
      <c r="H10" s="37"/>
      <c r="I10" s="37"/>
      <c r="K10" s="22" t="s">
        <v>375</v>
      </c>
      <c r="M10" s="38"/>
      <c r="N10" s="37"/>
      <c r="O10" s="38"/>
      <c r="P10" s="38"/>
      <c r="Q10" s="2"/>
      <c r="R10" s="2"/>
    </row>
    <row r="11" spans="2:18" ht="12.75">
      <c r="B11" s="16" t="s">
        <v>4</v>
      </c>
      <c r="C11" s="25">
        <v>5</v>
      </c>
      <c r="D11" s="221">
        <f>IF((Avantage!B31+C11)&lt;12,Avantage!B31,0)+Avantage!D31</f>
        <v>0</v>
      </c>
      <c r="E11" s="221">
        <f t="shared" si="1"/>
        <v>5</v>
      </c>
      <c r="F11" s="227" t="str">
        <f t="shared" si="0"/>
        <v>0</v>
      </c>
      <c r="G11" s="233">
        <v>0</v>
      </c>
      <c r="H11" s="37"/>
      <c r="I11" s="37"/>
      <c r="K11" s="22" t="s">
        <v>376</v>
      </c>
      <c r="M11" s="38"/>
      <c r="N11" s="37"/>
      <c r="O11" s="38"/>
      <c r="P11" s="38"/>
      <c r="Q11" s="2"/>
      <c r="R11" s="2"/>
    </row>
    <row r="12" spans="2:18" ht="12.75">
      <c r="B12" s="16" t="s">
        <v>5</v>
      </c>
      <c r="C12" s="25">
        <v>5</v>
      </c>
      <c r="D12" s="221">
        <f>IF((Avantage!B34+C12)&lt;12,Avantage!B34,0)+Avantage!D34</f>
        <v>0</v>
      </c>
      <c r="E12" s="221">
        <f t="shared" si="1"/>
        <v>5</v>
      </c>
      <c r="F12" s="227" t="str">
        <f t="shared" si="0"/>
        <v>0</v>
      </c>
      <c r="G12" s="233">
        <v>0</v>
      </c>
      <c r="H12" s="37"/>
      <c r="I12" s="37"/>
      <c r="K12" s="22" t="s">
        <v>377</v>
      </c>
      <c r="M12" s="38"/>
      <c r="N12" s="37"/>
      <c r="O12" s="38"/>
      <c r="P12" s="38"/>
      <c r="Q12" s="2"/>
      <c r="R12" s="2"/>
    </row>
    <row r="13" spans="2:18" ht="12.75">
      <c r="B13" s="16" t="s">
        <v>6</v>
      </c>
      <c r="C13" s="25">
        <v>5</v>
      </c>
      <c r="D13" s="221">
        <f>IF((Avantage!B33+C13)&lt;12,Avantage!B33,0)+Avantage!D33</f>
        <v>0</v>
      </c>
      <c r="E13" s="221">
        <f t="shared" si="1"/>
        <v>5</v>
      </c>
      <c r="F13" s="227" t="str">
        <f t="shared" si="0"/>
        <v>0</v>
      </c>
      <c r="G13" s="233">
        <v>0</v>
      </c>
      <c r="H13" s="37"/>
      <c r="I13" s="37"/>
      <c r="K13" s="22" t="s">
        <v>92</v>
      </c>
      <c r="M13" s="38"/>
      <c r="N13" s="37"/>
      <c r="O13" s="38"/>
      <c r="P13" s="38"/>
      <c r="Q13" s="2"/>
      <c r="R13" s="2"/>
    </row>
    <row r="14" spans="2:18" ht="13.5" thickBot="1">
      <c r="B14" s="17" t="s">
        <v>7</v>
      </c>
      <c r="C14" s="26">
        <v>5</v>
      </c>
      <c r="D14" s="222">
        <f>IF((Avantage!B32+C14)&lt;12,Avantage!B32,0)+Avantage!D32</f>
        <v>0</v>
      </c>
      <c r="E14" s="222">
        <f t="shared" si="1"/>
        <v>5</v>
      </c>
      <c r="F14" s="228" t="str">
        <f t="shared" si="0"/>
        <v>0</v>
      </c>
      <c r="G14" s="234">
        <v>0</v>
      </c>
      <c r="K14" s="22" t="s">
        <v>403</v>
      </c>
      <c r="M14" s="38"/>
      <c r="N14" s="37"/>
      <c r="O14" s="38"/>
      <c r="P14" s="38"/>
      <c r="Q14" s="2"/>
      <c r="R14" s="2"/>
    </row>
    <row r="15" spans="2:18" ht="13.5" thickBot="1">
      <c r="B15" s="14" t="s">
        <v>44</v>
      </c>
      <c r="C15" s="41">
        <f>SUM(C7:C14)</f>
        <v>40</v>
      </c>
      <c r="F15" s="14" t="s">
        <v>441</v>
      </c>
      <c r="G15" s="59">
        <f>E2-1-SUM(G7:G14)</f>
        <v>0</v>
      </c>
      <c r="K15" s="22" t="s">
        <v>404</v>
      </c>
      <c r="M15" s="38"/>
      <c r="N15" s="37"/>
      <c r="O15" s="38"/>
      <c r="P15" s="38"/>
      <c r="Q15" s="195"/>
      <c r="R15" s="2"/>
    </row>
    <row r="16" spans="7:18" ht="13.5" thickBot="1">
      <c r="G16" s="2"/>
      <c r="H16" s="2"/>
      <c r="I16" s="2"/>
      <c r="K16" s="22" t="s">
        <v>405</v>
      </c>
      <c r="M16" s="37"/>
      <c r="N16" s="2"/>
      <c r="O16" s="37"/>
      <c r="P16" s="2"/>
      <c r="Q16" s="2"/>
      <c r="R16" s="2"/>
    </row>
    <row r="17" spans="2:18" ht="13.5" thickBot="1">
      <c r="B17" s="295"/>
      <c r="C17" s="295"/>
      <c r="D17" s="295"/>
      <c r="E17" s="14" t="s">
        <v>437</v>
      </c>
      <c r="G17" s="2"/>
      <c r="H17" s="2"/>
      <c r="I17" s="2"/>
      <c r="K17" s="22" t="s">
        <v>406</v>
      </c>
      <c r="M17" s="37"/>
      <c r="N17" s="2"/>
      <c r="O17" s="37"/>
      <c r="P17" s="2"/>
      <c r="Q17" s="2"/>
      <c r="R17" s="2"/>
    </row>
    <row r="18" spans="2:18" ht="12.75">
      <c r="B18" s="297" t="s">
        <v>13</v>
      </c>
      <c r="C18" s="298"/>
      <c r="D18" s="296"/>
      <c r="E18" s="30">
        <f>'Description classe'!C63*100</f>
        <v>60</v>
      </c>
      <c r="F18" s="64" t="s">
        <v>29</v>
      </c>
      <c r="G18" s="18">
        <f>'Module Martial'!D87</f>
        <v>0</v>
      </c>
      <c r="H18" s="104" t="s">
        <v>28</v>
      </c>
      <c r="I18" s="129">
        <f>C3*'Description classe'!C63</f>
        <v>360</v>
      </c>
      <c r="K18" s="22" t="s">
        <v>407</v>
      </c>
      <c r="M18" s="169"/>
      <c r="N18" s="2"/>
      <c r="O18" s="2"/>
      <c r="P18" s="2"/>
      <c r="Q18" s="2"/>
      <c r="R18" s="2"/>
    </row>
    <row r="19" spans="2:18" ht="12.75">
      <c r="B19" s="299" t="s">
        <v>14</v>
      </c>
      <c r="C19" s="300"/>
      <c r="D19" s="301"/>
      <c r="E19" s="11">
        <f>'Description classe'!C71*100</f>
        <v>60</v>
      </c>
      <c r="F19" s="63" t="s">
        <v>29</v>
      </c>
      <c r="G19" s="19">
        <f>'Module Mystique'!D57</f>
        <v>0</v>
      </c>
      <c r="H19" s="112" t="s">
        <v>28</v>
      </c>
      <c r="I19" s="89">
        <f>C3*'Description classe'!C71</f>
        <v>360</v>
      </c>
      <c r="K19" s="22" t="s">
        <v>408</v>
      </c>
      <c r="M19" s="37"/>
      <c r="N19" s="2"/>
      <c r="O19" s="2"/>
      <c r="P19" s="37"/>
      <c r="Q19" s="2"/>
      <c r="R19" s="2"/>
    </row>
    <row r="20" spans="2:16" ht="13.5" thickBot="1">
      <c r="B20" s="302" t="s">
        <v>15</v>
      </c>
      <c r="C20" s="303"/>
      <c r="D20" s="304"/>
      <c r="E20" s="12">
        <f>'Description classe'!C80*100</f>
        <v>60</v>
      </c>
      <c r="F20" s="42" t="s">
        <v>29</v>
      </c>
      <c r="G20" s="20">
        <f>'Module Psy'!D28</f>
        <v>0</v>
      </c>
      <c r="H20" s="93" t="s">
        <v>28</v>
      </c>
      <c r="I20" s="88">
        <f>C3*'Description classe'!C80</f>
        <v>360</v>
      </c>
      <c r="K20" s="22" t="s">
        <v>410</v>
      </c>
      <c r="M20" s="37"/>
      <c r="P20" s="37"/>
    </row>
    <row r="21" spans="1:16" ht="13.5" thickBot="1">
      <c r="A21" s="35"/>
      <c r="B21" s="292" t="s">
        <v>195</v>
      </c>
      <c r="C21" s="293"/>
      <c r="D21" s="294"/>
      <c r="E21" s="61">
        <v>100</v>
      </c>
      <c r="F21" s="34" t="s">
        <v>29</v>
      </c>
      <c r="G21" s="61">
        <f>'Compétence secondaire'!D67</f>
        <v>0</v>
      </c>
      <c r="H21" s="14" t="s">
        <v>28</v>
      </c>
      <c r="I21" s="92">
        <f>C3</f>
        <v>600</v>
      </c>
      <c r="J21" s="35"/>
      <c r="K21" s="144" t="s">
        <v>411</v>
      </c>
      <c r="M21" s="37"/>
      <c r="P21" s="37"/>
    </row>
    <row r="22" spans="1:16" ht="13.5" thickBot="1">
      <c r="A22" s="39"/>
      <c r="B22" s="289" t="s">
        <v>440</v>
      </c>
      <c r="C22" s="290"/>
      <c r="D22" s="291"/>
      <c r="E22" s="92">
        <f>I7</f>
        <v>0</v>
      </c>
      <c r="F22" s="39"/>
      <c r="G22" s="39"/>
      <c r="H22" s="39"/>
      <c r="I22" s="39"/>
      <c r="J22" s="37"/>
      <c r="K22" s="22" t="s">
        <v>412</v>
      </c>
      <c r="M22" s="37"/>
      <c r="P22" s="37"/>
    </row>
    <row r="23" spans="8:16" ht="13.5" thickBot="1">
      <c r="H23" s="292" t="s">
        <v>69</v>
      </c>
      <c r="I23" s="296"/>
      <c r="K23" s="23" t="s">
        <v>409</v>
      </c>
      <c r="P23" s="37"/>
    </row>
    <row r="24" spans="2:11" ht="13.5" thickBot="1">
      <c r="B24" s="78" t="s">
        <v>39</v>
      </c>
      <c r="C24" s="68">
        <f>30+(E2-1)*5</f>
        <v>30</v>
      </c>
      <c r="D24" s="34"/>
      <c r="E24" s="73" t="s">
        <v>40</v>
      </c>
      <c r="F24" s="73" t="s">
        <v>57</v>
      </c>
      <c r="G24" s="255" t="s">
        <v>9</v>
      </c>
      <c r="H24" s="193" t="s">
        <v>32</v>
      </c>
      <c r="I24" s="229">
        <f>E7+Avantage!$D$46</f>
        <v>5</v>
      </c>
      <c r="K24" s="2"/>
    </row>
    <row r="25" spans="2:11" ht="12.75">
      <c r="B25" s="193" t="s">
        <v>52</v>
      </c>
      <c r="C25" s="229">
        <v>30</v>
      </c>
      <c r="D25" s="162" t="s">
        <v>3</v>
      </c>
      <c r="E25" s="252" t="str">
        <f>F10</f>
        <v>0</v>
      </c>
      <c r="F25" s="256">
        <f>Avantage!C36+Avantage!C37</f>
        <v>0</v>
      </c>
      <c r="G25" s="259">
        <f>TRUNC((C25+E25+F25)/Avantage!D66)</f>
        <v>30</v>
      </c>
      <c r="H25" s="158" t="s">
        <v>70</v>
      </c>
      <c r="I25" s="221">
        <v>0</v>
      </c>
      <c r="K25" s="2"/>
    </row>
    <row r="26" spans="2:11" ht="13.5" thickBot="1">
      <c r="B26" s="193" t="s">
        <v>53</v>
      </c>
      <c r="C26" s="221">
        <v>30</v>
      </c>
      <c r="D26" s="162" t="s">
        <v>3</v>
      </c>
      <c r="E26" s="225" t="str">
        <f>F10</f>
        <v>0</v>
      </c>
      <c r="F26" s="257">
        <f>Avantage!C36+Avantage!C37</f>
        <v>0</v>
      </c>
      <c r="G26" s="260">
        <f>TRUNC((C26+E26+F26)/Avantage!D63)</f>
        <v>30</v>
      </c>
      <c r="H26" s="158" t="s">
        <v>11</v>
      </c>
      <c r="I26" s="222">
        <v>0</v>
      </c>
      <c r="K26" s="2"/>
    </row>
    <row r="27" spans="2:11" ht="13.5" thickBot="1">
      <c r="B27" s="193" t="s">
        <v>54</v>
      </c>
      <c r="C27" s="221">
        <v>30</v>
      </c>
      <c r="D27" s="162" t="s">
        <v>3</v>
      </c>
      <c r="E27" s="225" t="str">
        <f>F10</f>
        <v>0</v>
      </c>
      <c r="F27" s="257">
        <f>Avantage!C36+Avantage!C37</f>
        <v>0</v>
      </c>
      <c r="G27" s="260">
        <f>TRUNC((C27+E27+F27)/Avantage!D64)</f>
        <v>30</v>
      </c>
      <c r="H27" s="73" t="s">
        <v>9</v>
      </c>
      <c r="I27" s="11">
        <f>SUM(I24:I26)</f>
        <v>5</v>
      </c>
      <c r="K27" s="2"/>
    </row>
    <row r="28" spans="2:11" ht="13.5" thickBot="1">
      <c r="B28" s="193" t="s">
        <v>55</v>
      </c>
      <c r="C28" s="221">
        <v>30</v>
      </c>
      <c r="D28" s="162" t="s">
        <v>7</v>
      </c>
      <c r="E28" s="225" t="str">
        <f>F14</f>
        <v>0</v>
      </c>
      <c r="F28" s="257">
        <f>Avantage!C40+Avantage!C41+IF(Avantage!B44&gt;0,10,0)</f>
        <v>0</v>
      </c>
      <c r="G28" s="260">
        <f>TRUNC((C28+E28+F28)/Avantage!D65)</f>
        <v>30</v>
      </c>
      <c r="H28" s="13" t="s">
        <v>71</v>
      </c>
      <c r="I28" s="41">
        <f>mouvement(I27)</f>
        <v>20</v>
      </c>
      <c r="K28" s="2"/>
    </row>
    <row r="29" spans="2:11" ht="13.5" thickBot="1">
      <c r="B29" s="188" t="s">
        <v>56</v>
      </c>
      <c r="C29" s="222">
        <v>30</v>
      </c>
      <c r="D29" s="231" t="s">
        <v>6</v>
      </c>
      <c r="E29" s="253" t="str">
        <f>F13</f>
        <v>0</v>
      </c>
      <c r="F29" s="258">
        <f>Avantage!C38+Avantage!C39</f>
        <v>0</v>
      </c>
      <c r="G29" s="261">
        <f>C29+E29+F29</f>
        <v>30</v>
      </c>
      <c r="H29" s="254" t="s">
        <v>449</v>
      </c>
      <c r="I29" s="61">
        <f>I28/4</f>
        <v>5</v>
      </c>
      <c r="K29" s="2"/>
    </row>
    <row r="30" ht="13.5" thickBot="1">
      <c r="K30" s="2"/>
    </row>
    <row r="31" spans="8:9" ht="13.5" thickBot="1">
      <c r="H31" s="292" t="s">
        <v>135</v>
      </c>
      <c r="I31" s="294"/>
    </row>
    <row r="32" spans="2:9" ht="13.5" thickBot="1">
      <c r="B32" s="14" t="s">
        <v>68</v>
      </c>
      <c r="C32" s="73" t="s">
        <v>119</v>
      </c>
      <c r="D32" s="160" t="s">
        <v>59</v>
      </c>
      <c r="E32" s="160" t="s">
        <v>60</v>
      </c>
      <c r="F32" s="160" t="s">
        <v>61</v>
      </c>
      <c r="G32" s="161" t="s">
        <v>62</v>
      </c>
      <c r="H32" s="93" t="s">
        <v>32</v>
      </c>
      <c r="I32" s="12">
        <f>C10+Avantage!$D$45</f>
        <v>5</v>
      </c>
    </row>
    <row r="33" spans="2:7" ht="13.5" thickBot="1">
      <c r="B33" s="78" t="s">
        <v>58</v>
      </c>
      <c r="C33" s="111">
        <v>20</v>
      </c>
      <c r="D33" s="288">
        <v>20</v>
      </c>
      <c r="E33" s="288">
        <v>20</v>
      </c>
      <c r="F33" s="288">
        <v>20</v>
      </c>
      <c r="G33" s="288">
        <v>20</v>
      </c>
    </row>
    <row r="34" spans="2:10" ht="13.5" thickBot="1">
      <c r="B34" s="188" t="s">
        <v>63</v>
      </c>
      <c r="C34" s="111" t="s">
        <v>600</v>
      </c>
      <c r="D34" s="121">
        <v>0</v>
      </c>
      <c r="E34" s="121">
        <v>0</v>
      </c>
      <c r="F34" s="121">
        <v>0</v>
      </c>
      <c r="G34" s="108">
        <v>0</v>
      </c>
      <c r="H34" s="293" t="s">
        <v>136</v>
      </c>
      <c r="I34" s="294"/>
      <c r="J34" s="249" t="s">
        <v>397</v>
      </c>
    </row>
    <row r="35" spans="2:10" ht="13.5" thickBot="1">
      <c r="B35" s="192" t="s">
        <v>64</v>
      </c>
      <c r="C35" s="229" t="str">
        <f>F7</f>
        <v>0</v>
      </c>
      <c r="D35" s="266" t="str">
        <f>F7</f>
        <v>0</v>
      </c>
      <c r="E35" s="266" t="str">
        <f>F7</f>
        <v>0</v>
      </c>
      <c r="F35" s="266" t="str">
        <f>F7</f>
        <v>0</v>
      </c>
      <c r="G35" s="266" t="str">
        <f>F7</f>
        <v>0</v>
      </c>
      <c r="H35" s="73" t="s">
        <v>32</v>
      </c>
      <c r="I35" s="155">
        <v>5</v>
      </c>
      <c r="J35" s="250">
        <f>IF(Avantage!B64=0,I35,2)</f>
        <v>5</v>
      </c>
    </row>
    <row r="36" spans="2:10" ht="13.5" thickBot="1">
      <c r="B36" s="188" t="s">
        <v>65</v>
      </c>
      <c r="C36" s="222" t="str">
        <f>F8</f>
        <v>0</v>
      </c>
      <c r="D36" s="263" t="str">
        <f>F8</f>
        <v>0</v>
      </c>
      <c r="E36" s="263" t="str">
        <f>F8</f>
        <v>0</v>
      </c>
      <c r="F36" s="263" t="str">
        <f>F8</f>
        <v>0</v>
      </c>
      <c r="G36" s="263" t="str">
        <f>F8</f>
        <v>0</v>
      </c>
      <c r="H36" s="161"/>
      <c r="I36" s="104" t="s">
        <v>138</v>
      </c>
      <c r="J36" s="73" t="s">
        <v>139</v>
      </c>
    </row>
    <row r="37" spans="2:10" ht="13.5" thickBot="1">
      <c r="B37" s="192" t="s">
        <v>66</v>
      </c>
      <c r="C37" s="111">
        <v>20</v>
      </c>
      <c r="D37" s="121">
        <v>0</v>
      </c>
      <c r="E37" s="121">
        <v>0</v>
      </c>
      <c r="F37" s="121">
        <v>0</v>
      </c>
      <c r="G37" s="121">
        <v>0</v>
      </c>
      <c r="H37" s="161" t="s">
        <v>137</v>
      </c>
      <c r="I37" s="68" t="str">
        <f>taillemin(E9,E10,-Avantage!$D$44)</f>
        <v>140</v>
      </c>
      <c r="J37" s="68" t="str">
        <f>taillemax(E9,E10,Avantage!$D$44)</f>
        <v>170</v>
      </c>
    </row>
    <row r="38" spans="2:10" ht="13.5" thickBot="1">
      <c r="B38" s="15" t="s">
        <v>67</v>
      </c>
      <c r="C38" s="266">
        <f>'Description classe'!C56*E2</f>
        <v>5</v>
      </c>
      <c r="D38" s="266">
        <f>$C$38</f>
        <v>5</v>
      </c>
      <c r="E38" s="266">
        <f>$C$38</f>
        <v>5</v>
      </c>
      <c r="F38" s="266">
        <f>$C$38</f>
        <v>5</v>
      </c>
      <c r="G38" s="266">
        <f>$C$38</f>
        <v>5</v>
      </c>
      <c r="H38" s="231" t="s">
        <v>140</v>
      </c>
      <c r="I38" s="69" t="str">
        <f>taillemin(E9,E10,-Avantage!$D$44-1)</f>
        <v>130</v>
      </c>
      <c r="J38" s="69" t="str">
        <f>taillemax(E9,E10,-1+Avantage!D44)</f>
        <v>160</v>
      </c>
    </row>
    <row r="39" spans="2:10" ht="13.5" thickBot="1">
      <c r="B39" s="17" t="s">
        <v>57</v>
      </c>
      <c r="C39" s="263">
        <f>Avantage!$D$43</f>
        <v>0</v>
      </c>
      <c r="D39" s="263">
        <f>Avantage!$D$43</f>
        <v>0</v>
      </c>
      <c r="E39" s="263">
        <f>Avantage!$D$43</f>
        <v>0</v>
      </c>
      <c r="F39" s="263">
        <f>Avantage!$D$43</f>
        <v>0</v>
      </c>
      <c r="G39" s="263">
        <f>Avantage!$D$43</f>
        <v>0</v>
      </c>
      <c r="H39" s="162" t="s">
        <v>142</v>
      </c>
      <c r="I39" s="68" t="str">
        <f>poidsmin(E9,E10,-Avantage!D44)</f>
        <v>40</v>
      </c>
      <c r="J39" s="30" t="str">
        <f>poidsmax(E9,E10,Avantage!D44)</f>
        <v>90</v>
      </c>
    </row>
    <row r="40" spans="2:10" ht="13.5" thickBot="1">
      <c r="B40" s="188" t="s">
        <v>9</v>
      </c>
      <c r="C40" s="61">
        <f>C33+C35+C36+C37+C38+C39</f>
        <v>45</v>
      </c>
      <c r="D40" s="41">
        <f>SUM(D33:D39)</f>
        <v>25</v>
      </c>
      <c r="E40" s="41">
        <f>SUM(E33:E39)</f>
        <v>25</v>
      </c>
      <c r="F40" s="41">
        <f>SUM(F33:F39)</f>
        <v>25</v>
      </c>
      <c r="G40" s="41">
        <f>SUM(G33:G39)</f>
        <v>25</v>
      </c>
      <c r="H40" s="231" t="s">
        <v>141</v>
      </c>
      <c r="I40" s="59" t="str">
        <f>poidsmin(E9,E10,-Avantage!D44-1)</f>
        <v>40</v>
      </c>
      <c r="J40" s="12" t="str">
        <f>poidsmax(E9,E10,Avantage!D44-1)</f>
        <v>80</v>
      </c>
    </row>
    <row r="42" ht="13.5" thickBot="1"/>
    <row r="43" spans="2:8" ht="13.5" thickBot="1">
      <c r="B43" s="14" t="s">
        <v>416</v>
      </c>
      <c r="C43" s="61">
        <f>regene(E10)</f>
        <v>1</v>
      </c>
      <c r="D43" s="292" t="s">
        <v>438</v>
      </c>
      <c r="E43" s="293"/>
      <c r="F43" s="293"/>
      <c r="G43" s="294"/>
      <c r="H43" s="61">
        <f>nbact(E7,E9)</f>
        <v>1</v>
      </c>
    </row>
    <row r="45" ht="13.5" thickBot="1"/>
    <row r="46" spans="2:7" ht="13.5" thickBot="1">
      <c r="B46" s="251" t="s">
        <v>592</v>
      </c>
      <c r="C46" s="243" t="str">
        <f>Equimental(E11,E13,E14)</f>
        <v>30</v>
      </c>
      <c r="D46" s="289" t="s">
        <v>593</v>
      </c>
      <c r="E46" s="290"/>
      <c r="F46" s="291"/>
      <c r="G46" s="243" t="str">
        <f>Equifolie(E11,E13,E14)</f>
        <v>10</v>
      </c>
    </row>
  </sheetData>
  <sheetProtection/>
  <mergeCells count="12">
    <mergeCell ref="B20:D20"/>
    <mergeCell ref="B21:D21"/>
    <mergeCell ref="D46:F46"/>
    <mergeCell ref="D43:G43"/>
    <mergeCell ref="H31:I31"/>
    <mergeCell ref="H1:I1"/>
    <mergeCell ref="B22:D22"/>
    <mergeCell ref="B17:D17"/>
    <mergeCell ref="H23:I23"/>
    <mergeCell ref="H34:I34"/>
    <mergeCell ref="B18:D18"/>
    <mergeCell ref="B19:D19"/>
  </mergeCells>
  <dataValidations count="1">
    <dataValidation type="list" allowBlank="1" showInputMessage="1" showErrorMessage="1" sqref="C2">
      <formula1>$K$2:$K$23</formula1>
    </dataValidation>
  </dataValidations>
  <printOptions horizontalCentered="1"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4:M87"/>
  <sheetViews>
    <sheetView zoomScalePageLayoutView="0" workbookViewId="0" topLeftCell="A71">
      <selection activeCell="G79" sqref="G79"/>
    </sheetView>
  </sheetViews>
  <sheetFormatPr defaultColWidth="11.421875" defaultRowHeight="12.75"/>
  <cols>
    <col min="1" max="1" width="4.8515625" style="0" bestFit="1" customWidth="1"/>
    <col min="2" max="2" width="29.57421875" style="0" customWidth="1"/>
    <col min="3" max="3" width="16.421875" style="0" customWidth="1"/>
    <col min="4" max="4" width="6.8515625" style="0" bestFit="1" customWidth="1"/>
    <col min="5" max="5" width="26.421875" style="0" customWidth="1"/>
    <col min="6" max="6" width="13.8515625" style="0" bestFit="1" customWidth="1"/>
    <col min="7" max="7" width="8.8515625" style="0" bestFit="1" customWidth="1"/>
    <col min="8" max="8" width="9.57421875" style="0" bestFit="1" customWidth="1"/>
    <col min="9" max="9" width="5.00390625" style="0" bestFit="1" customWidth="1"/>
    <col min="13" max="13" width="11.421875" style="0" hidden="1" customWidth="1"/>
  </cols>
  <sheetData>
    <row r="4" spans="10:11" ht="12.75">
      <c r="J4" s="8"/>
      <c r="K4" s="8"/>
    </row>
    <row r="6" ht="13.5" thickBot="1"/>
    <row r="7" spans="5:7" ht="13.5" thickBot="1">
      <c r="E7" s="292" t="s">
        <v>439</v>
      </c>
      <c r="F7" s="294"/>
      <c r="G7" s="61">
        <f>1+TRUNC(I12/100)+IF(B19=M35,1,0)+IF(B20=M35,1,0)+IF(B21=M35,1,0)+IF(B22=M35,1,0)+IF(B23=M35,1,0)+IF(B24=M35,1,0)+IF(E19=M35,1,0)+IF(E20=M35,1,0)+IF(E21=M35,1,0)+IF(E22=M35,1,0)+IF(E23=M35,1,0)+IF(E24=M35,1,0)</f>
        <v>1</v>
      </c>
    </row>
    <row r="9" spans="10:11" ht="13.5" thickBot="1">
      <c r="J9" s="45"/>
      <c r="K9" s="45"/>
    </row>
    <row r="10" spans="1:13" ht="13.5" thickBot="1">
      <c r="A10" s="292" t="s">
        <v>33</v>
      </c>
      <c r="B10" s="293"/>
      <c r="C10" s="293"/>
      <c r="D10" s="293"/>
      <c r="E10" s="293"/>
      <c r="F10" s="293"/>
      <c r="G10" s="293"/>
      <c r="H10" s="293"/>
      <c r="I10" s="294"/>
      <c r="K10" s="45"/>
      <c r="M10" s="8" t="s">
        <v>41</v>
      </c>
    </row>
    <row r="11" spans="1:13" ht="13.5" thickBot="1">
      <c r="A11" s="104" t="s">
        <v>597</v>
      </c>
      <c r="B11" s="73" t="s">
        <v>595</v>
      </c>
      <c r="C11" s="73" t="s">
        <v>596</v>
      </c>
      <c r="D11" s="73" t="s">
        <v>37</v>
      </c>
      <c r="E11" s="264" t="s">
        <v>58</v>
      </c>
      <c r="F11" s="73" t="s">
        <v>597</v>
      </c>
      <c r="G11" s="73" t="s">
        <v>67</v>
      </c>
      <c r="H11" s="73" t="s">
        <v>57</v>
      </c>
      <c r="I11" s="73" t="s">
        <v>598</v>
      </c>
      <c r="K11" s="146"/>
      <c r="M11" t="s">
        <v>196</v>
      </c>
    </row>
    <row r="12" spans="1:13" ht="12.75">
      <c r="A12" s="15" t="s">
        <v>2</v>
      </c>
      <c r="B12" s="271" t="s">
        <v>281</v>
      </c>
      <c r="C12" s="266">
        <f>'Description classe'!C64</f>
        <v>2</v>
      </c>
      <c r="D12" s="24">
        <v>0</v>
      </c>
      <c r="E12" s="266">
        <f>TRUNC(D12/C12)</f>
        <v>0</v>
      </c>
      <c r="F12" s="266" t="str">
        <f>BASE!F8</f>
        <v>0</v>
      </c>
      <c r="G12" s="266">
        <f>IF(('Description classe'!D64+Avantage!$D$61)*BASE!E2&lt;50,('Description classe'!D64+Avantage!$D$61)*BASE!E2,50)</f>
        <v>0</v>
      </c>
      <c r="H12" s="267">
        <v>0</v>
      </c>
      <c r="I12" s="266">
        <f>E12+F12+G12+H12</f>
        <v>0</v>
      </c>
      <c r="K12" s="45"/>
      <c r="M12" t="s">
        <v>197</v>
      </c>
    </row>
    <row r="13" spans="1:13" ht="12.75">
      <c r="A13" s="16" t="s">
        <v>2</v>
      </c>
      <c r="B13" s="272" t="s">
        <v>280</v>
      </c>
      <c r="C13" s="262">
        <f>'Description classe'!C65</f>
        <v>2</v>
      </c>
      <c r="D13" s="270">
        <v>0</v>
      </c>
      <c r="E13" s="262">
        <f>TRUNC(D13/C13)</f>
        <v>0</v>
      </c>
      <c r="F13" s="262" t="str">
        <f>BASE!F8</f>
        <v>0</v>
      </c>
      <c r="G13" s="262">
        <f>IF(('Description classe'!D65+Avantage!$D$61)*BASE!E2&lt;50,('Description classe'!D65+Avantage!$D$61)*BASE!E2,50)</f>
        <v>0</v>
      </c>
      <c r="H13" s="268">
        <v>0</v>
      </c>
      <c r="I13" s="262">
        <f>E13+F13+G13+H13</f>
        <v>0</v>
      </c>
      <c r="K13" s="45"/>
      <c r="M13" t="s">
        <v>198</v>
      </c>
    </row>
    <row r="14" spans="1:13" ht="12.75">
      <c r="A14" s="16" t="s">
        <v>1</v>
      </c>
      <c r="B14" s="272" t="s">
        <v>282</v>
      </c>
      <c r="C14" s="262">
        <f>'Description classe'!C66</f>
        <v>2</v>
      </c>
      <c r="D14" s="25">
        <v>0</v>
      </c>
      <c r="E14" s="262">
        <f>TRUNC(D14/C14)</f>
        <v>0</v>
      </c>
      <c r="F14" s="262" t="str">
        <f>BASE!F7</f>
        <v>0</v>
      </c>
      <c r="G14" s="262">
        <f>IF(('Description classe'!D66+Avantage!$D$61)*BASE!E2&lt;50,('Description classe'!D66+Avantage!$D$61)*BASE!E2,50)</f>
        <v>0</v>
      </c>
      <c r="H14" s="268">
        <v>0</v>
      </c>
      <c r="I14" s="262">
        <f>E14+F14+G14+H14</f>
        <v>0</v>
      </c>
      <c r="K14" s="45"/>
      <c r="M14" t="s">
        <v>199</v>
      </c>
    </row>
    <row r="15" spans="1:13" ht="13.5" thickBot="1">
      <c r="A15" s="17" t="s">
        <v>0</v>
      </c>
      <c r="B15" s="273" t="s">
        <v>34</v>
      </c>
      <c r="C15" s="263">
        <f>'Description classe'!C67</f>
        <v>2</v>
      </c>
      <c r="D15" s="26">
        <v>0</v>
      </c>
      <c r="E15" s="263">
        <f>TRUNC(D15/C15)</f>
        <v>0</v>
      </c>
      <c r="F15" s="263" t="str">
        <f>BASE!F9</f>
        <v>0</v>
      </c>
      <c r="G15" s="263">
        <f>('Description classe'!D67+Avantage!$D$62)*BASE!E2</f>
        <v>0</v>
      </c>
      <c r="H15" s="269">
        <v>0</v>
      </c>
      <c r="I15" s="263">
        <f>E15+F15+G15+H15</f>
        <v>0</v>
      </c>
      <c r="K15" s="45"/>
      <c r="M15" s="45" t="s">
        <v>200</v>
      </c>
    </row>
    <row r="16" spans="1:13" ht="13.5" thickBot="1">
      <c r="A16" s="1"/>
      <c r="B16" s="2"/>
      <c r="C16" s="112" t="s">
        <v>27</v>
      </c>
      <c r="D16" s="11">
        <f>SUM(D12:D15)</f>
        <v>0</v>
      </c>
      <c r="E16" s="265" t="s">
        <v>28</v>
      </c>
      <c r="F16" s="12">
        <f>BASE!C3/2</f>
        <v>300</v>
      </c>
      <c r="G16" s="2"/>
      <c r="H16" s="2"/>
      <c r="I16" s="3"/>
      <c r="K16" s="45"/>
      <c r="M16" s="45" t="s">
        <v>201</v>
      </c>
    </row>
    <row r="17" spans="1:13" ht="13.5" thickBot="1">
      <c r="A17" s="292" t="s">
        <v>111</v>
      </c>
      <c r="B17" s="293"/>
      <c r="C17" s="293"/>
      <c r="D17" s="293"/>
      <c r="E17" s="293"/>
      <c r="F17" s="293"/>
      <c r="G17" s="293"/>
      <c r="H17" s="293"/>
      <c r="I17" s="294"/>
      <c r="K17" s="45"/>
      <c r="M17" s="146" t="s">
        <v>202</v>
      </c>
    </row>
    <row r="18" spans="1:13" ht="13.5" thickBot="1">
      <c r="A18" s="33"/>
      <c r="B18" s="14" t="s">
        <v>599</v>
      </c>
      <c r="C18" s="14" t="s">
        <v>596</v>
      </c>
      <c r="D18" s="21"/>
      <c r="E18" s="14" t="s">
        <v>599</v>
      </c>
      <c r="F18" s="14" t="s">
        <v>596</v>
      </c>
      <c r="G18" s="31"/>
      <c r="H18" s="31"/>
      <c r="I18" s="32"/>
      <c r="K18" s="45"/>
      <c r="M18" s="45" t="s">
        <v>203</v>
      </c>
    </row>
    <row r="19" spans="1:13" ht="13.5" thickBot="1">
      <c r="A19" s="1"/>
      <c r="B19" s="58"/>
      <c r="C19" s="59">
        <f aca="true" t="shared" si="0" ref="C19:C24">couttechnique(B19)</f>
        <v>0</v>
      </c>
      <c r="D19" s="47"/>
      <c r="E19" s="58"/>
      <c r="F19" s="59">
        <f aca="true" t="shared" si="1" ref="F19:F24">couttechnique(E19)</f>
        <v>0</v>
      </c>
      <c r="G19" s="105"/>
      <c r="H19" s="106"/>
      <c r="I19" s="65"/>
      <c r="K19" s="45"/>
      <c r="M19" s="45" t="s">
        <v>204</v>
      </c>
    </row>
    <row r="20" spans="1:13" ht="13.5" thickBot="1">
      <c r="A20" s="1"/>
      <c r="B20" s="60"/>
      <c r="C20" s="61">
        <f t="shared" si="0"/>
        <v>0</v>
      </c>
      <c r="D20" s="47"/>
      <c r="E20" s="60"/>
      <c r="F20" s="61">
        <f t="shared" si="1"/>
        <v>0</v>
      </c>
      <c r="G20" s="1"/>
      <c r="H20" s="14" t="s">
        <v>598</v>
      </c>
      <c r="I20" s="109"/>
      <c r="K20" s="45"/>
      <c r="M20" s="45" t="s">
        <v>205</v>
      </c>
    </row>
    <row r="21" spans="1:13" ht="13.5" thickBot="1">
      <c r="A21" s="1"/>
      <c r="B21" s="60"/>
      <c r="C21" s="61">
        <f t="shared" si="0"/>
        <v>0</v>
      </c>
      <c r="D21" s="47"/>
      <c r="E21" s="60"/>
      <c r="F21" s="61">
        <f t="shared" si="1"/>
        <v>0</v>
      </c>
      <c r="G21" s="1"/>
      <c r="H21" s="61">
        <f>C19+C20+C21+C22+C23+C24+F19+F20+F21+F22+F23+F24</f>
        <v>0</v>
      </c>
      <c r="I21" s="77"/>
      <c r="K21" s="45"/>
      <c r="M21" s="45" t="s">
        <v>206</v>
      </c>
    </row>
    <row r="22" spans="1:13" ht="13.5" thickBot="1">
      <c r="A22" s="1"/>
      <c r="B22" s="60"/>
      <c r="C22" s="61">
        <f t="shared" si="0"/>
        <v>0</v>
      </c>
      <c r="D22" s="2"/>
      <c r="E22" s="60"/>
      <c r="F22" s="61">
        <f t="shared" si="1"/>
        <v>0</v>
      </c>
      <c r="G22" s="1"/>
      <c r="H22" s="2"/>
      <c r="I22" s="3"/>
      <c r="K22" s="45"/>
      <c r="M22" s="45" t="s">
        <v>207</v>
      </c>
    </row>
    <row r="23" spans="1:13" ht="13.5" thickBot="1">
      <c r="A23" s="1"/>
      <c r="B23" s="60"/>
      <c r="C23" s="61">
        <f t="shared" si="0"/>
        <v>0</v>
      </c>
      <c r="D23" s="2"/>
      <c r="E23" s="60"/>
      <c r="F23" s="61">
        <f t="shared" si="1"/>
        <v>0</v>
      </c>
      <c r="G23" s="1"/>
      <c r="H23" s="2"/>
      <c r="I23" s="3"/>
      <c r="K23" s="45"/>
      <c r="M23" s="45" t="s">
        <v>208</v>
      </c>
    </row>
    <row r="24" spans="1:13" ht="13.5" thickBot="1">
      <c r="A24" s="9"/>
      <c r="B24" s="80"/>
      <c r="C24" s="68">
        <f t="shared" si="0"/>
        <v>0</v>
      </c>
      <c r="D24" s="10"/>
      <c r="E24" s="80"/>
      <c r="F24" s="68">
        <f t="shared" si="1"/>
        <v>0</v>
      </c>
      <c r="G24" s="206"/>
      <c r="H24" s="207"/>
      <c r="I24" s="208"/>
      <c r="K24" s="45"/>
      <c r="M24" s="45" t="s">
        <v>209</v>
      </c>
    </row>
    <row r="25" spans="1:13" ht="13.5" thickBot="1">
      <c r="A25" s="292" t="s">
        <v>93</v>
      </c>
      <c r="B25" s="293"/>
      <c r="C25" s="293"/>
      <c r="D25" s="293"/>
      <c r="E25" s="293"/>
      <c r="F25" s="293"/>
      <c r="G25" s="293"/>
      <c r="H25" s="293"/>
      <c r="I25" s="294"/>
      <c r="K25" s="45"/>
      <c r="M25" s="45" t="s">
        <v>434</v>
      </c>
    </row>
    <row r="26" spans="1:13" ht="13.5" thickBot="1">
      <c r="A26" s="81"/>
      <c r="B26" s="82"/>
      <c r="C26" s="82"/>
      <c r="D26" s="14" t="s">
        <v>43</v>
      </c>
      <c r="E26" s="13" t="s">
        <v>94</v>
      </c>
      <c r="F26" s="14" t="s">
        <v>228</v>
      </c>
      <c r="G26" s="13" t="s">
        <v>229</v>
      </c>
      <c r="H26" s="14" t="s">
        <v>230</v>
      </c>
      <c r="I26" s="83"/>
      <c r="K26" s="146"/>
      <c r="M26" s="45" t="s">
        <v>210</v>
      </c>
    </row>
    <row r="27" spans="1:13" ht="13.5" thickBot="1">
      <c r="A27" s="297" t="s">
        <v>131</v>
      </c>
      <c r="B27" s="298"/>
      <c r="C27" s="298"/>
      <c r="D27" s="66">
        <f>'Description classe'!C58*BASE!E2</f>
        <v>20</v>
      </c>
      <c r="E27" s="55">
        <f>E83</f>
        <v>0</v>
      </c>
      <c r="F27" s="92">
        <f>D27+E27+E29</f>
        <v>20</v>
      </c>
      <c r="G27" s="55">
        <f>D51</f>
        <v>0</v>
      </c>
      <c r="H27" s="92">
        <f>F27-G27</f>
        <v>20</v>
      </c>
      <c r="I27" s="86"/>
      <c r="K27" s="40"/>
      <c r="M27" s="45" t="s">
        <v>211</v>
      </c>
    </row>
    <row r="28" spans="1:13" ht="13.5" thickBot="1">
      <c r="A28" s="101">
        <v>0</v>
      </c>
      <c r="B28" s="310" t="s">
        <v>107</v>
      </c>
      <c r="C28" s="311"/>
      <c r="D28" s="66">
        <f>A28*40</f>
        <v>0</v>
      </c>
      <c r="E28" s="14" t="s">
        <v>256</v>
      </c>
      <c r="F28" s="54"/>
      <c r="G28" s="40"/>
      <c r="H28" s="85"/>
      <c r="I28" s="86"/>
      <c r="K28" s="40"/>
      <c r="M28" s="45" t="s">
        <v>212</v>
      </c>
    </row>
    <row r="29" spans="1:13" ht="13.5" thickBot="1">
      <c r="A29" s="147">
        <v>0</v>
      </c>
      <c r="B29" s="310" t="s">
        <v>221</v>
      </c>
      <c r="C29" s="312"/>
      <c r="D29" s="66">
        <f>A29*30</f>
        <v>0</v>
      </c>
      <c r="E29" s="92">
        <f>Avantage!B48</f>
        <v>0</v>
      </c>
      <c r="F29" s="54"/>
      <c r="G29" s="40"/>
      <c r="H29" s="85"/>
      <c r="I29" s="86"/>
      <c r="K29" s="40"/>
      <c r="M29" s="45" t="s">
        <v>213</v>
      </c>
    </row>
    <row r="30" spans="1:13" ht="12.75">
      <c r="A30" s="147">
        <v>0</v>
      </c>
      <c r="B30" s="299" t="s">
        <v>220</v>
      </c>
      <c r="C30" s="300"/>
      <c r="D30" s="62">
        <f>A30*20</f>
        <v>0</v>
      </c>
      <c r="E30" s="54"/>
      <c r="F30" s="54"/>
      <c r="G30" s="40"/>
      <c r="H30" s="85"/>
      <c r="I30" s="86"/>
      <c r="K30" s="40"/>
      <c r="M30" s="45" t="s">
        <v>214</v>
      </c>
    </row>
    <row r="31" spans="1:13" ht="13.5" thickBot="1">
      <c r="A31" s="147">
        <v>0</v>
      </c>
      <c r="B31" s="305" t="s">
        <v>222</v>
      </c>
      <c r="C31" s="309"/>
      <c r="D31" s="62">
        <f>A31*10</f>
        <v>0</v>
      </c>
      <c r="E31" s="54"/>
      <c r="F31" s="54"/>
      <c r="G31" s="40"/>
      <c r="H31" s="85"/>
      <c r="I31" s="86"/>
      <c r="K31" s="40"/>
      <c r="M31" s="45" t="s">
        <v>594</v>
      </c>
    </row>
    <row r="32" spans="1:13" ht="12.75">
      <c r="A32" s="130">
        <v>0</v>
      </c>
      <c r="B32" s="312" t="s">
        <v>108</v>
      </c>
      <c r="C32" s="311"/>
      <c r="D32" s="129">
        <f>A32*10</f>
        <v>0</v>
      </c>
      <c r="E32" s="54"/>
      <c r="F32" s="54"/>
      <c r="G32" s="40"/>
      <c r="H32" s="85"/>
      <c r="I32" s="202"/>
      <c r="M32" s="146" t="s">
        <v>215</v>
      </c>
    </row>
    <row r="33" spans="1:13" ht="12.75">
      <c r="A33" s="102">
        <v>0</v>
      </c>
      <c r="B33" s="300" t="s">
        <v>109</v>
      </c>
      <c r="C33" s="301"/>
      <c r="D33" s="89">
        <f>A33*20</f>
        <v>0</v>
      </c>
      <c r="E33" s="54"/>
      <c r="F33" s="54"/>
      <c r="G33" s="39"/>
      <c r="H33" s="39"/>
      <c r="I33" s="109"/>
      <c r="M33" s="40" t="s">
        <v>216</v>
      </c>
    </row>
    <row r="34" spans="1:13" ht="12.75">
      <c r="A34" s="102">
        <v>0</v>
      </c>
      <c r="B34" s="309" t="s">
        <v>110</v>
      </c>
      <c r="C34" s="306"/>
      <c r="D34" s="89">
        <f>A34*20</f>
        <v>0</v>
      </c>
      <c r="E34" s="54"/>
      <c r="F34" s="39"/>
      <c r="G34" s="54"/>
      <c r="H34" s="40"/>
      <c r="I34" s="202"/>
      <c r="M34" s="40" t="s">
        <v>217</v>
      </c>
    </row>
    <row r="35" spans="1:13" ht="13.5" thickBot="1">
      <c r="A35" s="103">
        <v>0</v>
      </c>
      <c r="B35" s="307" t="s">
        <v>218</v>
      </c>
      <c r="C35" s="308"/>
      <c r="D35" s="89">
        <f>A35*10</f>
        <v>0</v>
      </c>
      <c r="E35" s="54"/>
      <c r="F35" s="39"/>
      <c r="G35" s="54"/>
      <c r="H35" s="40"/>
      <c r="I35" s="202"/>
      <c r="M35" s="40" t="s">
        <v>584</v>
      </c>
    </row>
    <row r="36" spans="1:13" ht="12.75">
      <c r="A36" s="130">
        <v>0</v>
      </c>
      <c r="B36" s="149" t="s">
        <v>219</v>
      </c>
      <c r="C36" s="150"/>
      <c r="D36" s="66">
        <f>A36*10</f>
        <v>0</v>
      </c>
      <c r="E36" s="54"/>
      <c r="F36" s="39"/>
      <c r="G36" s="54"/>
      <c r="H36" s="40"/>
      <c r="I36" s="202"/>
      <c r="M36" s="40" t="s">
        <v>585</v>
      </c>
    </row>
    <row r="37" spans="1:13" ht="12.75">
      <c r="A37" s="102">
        <v>0</v>
      </c>
      <c r="B37" s="299" t="s">
        <v>266</v>
      </c>
      <c r="C37" s="300"/>
      <c r="D37" s="62">
        <f>A37*10</f>
        <v>0</v>
      </c>
      <c r="E37" s="54"/>
      <c r="F37" s="39"/>
      <c r="G37" s="54"/>
      <c r="H37" s="40"/>
      <c r="I37" s="202"/>
      <c r="M37" s="40" t="s">
        <v>586</v>
      </c>
    </row>
    <row r="38" spans="1:13" ht="12.75">
      <c r="A38" s="102">
        <v>0</v>
      </c>
      <c r="B38" s="299" t="s">
        <v>267</v>
      </c>
      <c r="C38" s="300"/>
      <c r="D38" s="62">
        <f>A38*10</f>
        <v>0</v>
      </c>
      <c r="E38" s="54"/>
      <c r="F38" s="39"/>
      <c r="G38" s="54"/>
      <c r="H38" s="40"/>
      <c r="I38" s="202"/>
      <c r="M38" s="40" t="s">
        <v>587</v>
      </c>
    </row>
    <row r="39" spans="1:13" ht="13.5" thickBot="1">
      <c r="A39" s="103">
        <v>0</v>
      </c>
      <c r="B39" s="302" t="s">
        <v>268</v>
      </c>
      <c r="C39" s="303"/>
      <c r="D39" s="62">
        <f>A39*20</f>
        <v>0</v>
      </c>
      <c r="E39" s="54"/>
      <c r="F39" s="39"/>
      <c r="G39" s="54"/>
      <c r="H39" s="40"/>
      <c r="I39" s="202"/>
      <c r="M39" s="40" t="s">
        <v>588</v>
      </c>
    </row>
    <row r="40" spans="1:13" ht="12.75">
      <c r="A40" s="130">
        <v>0</v>
      </c>
      <c r="B40" s="149" t="s">
        <v>270</v>
      </c>
      <c r="C40" s="150"/>
      <c r="D40" s="66">
        <f aca="true" t="shared" si="2" ref="D40:D45">A40*10</f>
        <v>0</v>
      </c>
      <c r="E40" s="54"/>
      <c r="F40" s="54"/>
      <c r="G40" s="40"/>
      <c r="H40" s="40"/>
      <c r="I40" s="202"/>
      <c r="M40" s="40" t="s">
        <v>589</v>
      </c>
    </row>
    <row r="41" spans="1:13" ht="13.5" thickBot="1">
      <c r="A41" s="103">
        <v>0</v>
      </c>
      <c r="B41" s="302" t="s">
        <v>269</v>
      </c>
      <c r="C41" s="303"/>
      <c r="D41" s="67">
        <f t="shared" si="2"/>
        <v>0</v>
      </c>
      <c r="E41" s="54"/>
      <c r="F41" s="54"/>
      <c r="G41" s="40"/>
      <c r="H41" s="85"/>
      <c r="I41" s="202"/>
      <c r="M41" s="40" t="s">
        <v>590</v>
      </c>
    </row>
    <row r="42" spans="1:13" ht="12.75">
      <c r="A42" s="130">
        <v>0</v>
      </c>
      <c r="B42" s="149" t="s">
        <v>271</v>
      </c>
      <c r="C42" s="150"/>
      <c r="D42" s="66">
        <f t="shared" si="2"/>
        <v>0</v>
      </c>
      <c r="E42" s="54"/>
      <c r="F42" s="54"/>
      <c r="G42" s="40"/>
      <c r="H42" s="85"/>
      <c r="I42" s="86"/>
      <c r="M42" s="40" t="s">
        <v>591</v>
      </c>
    </row>
    <row r="43" spans="1:9" ht="12.75">
      <c r="A43" s="102">
        <v>0</v>
      </c>
      <c r="B43" s="299" t="s">
        <v>272</v>
      </c>
      <c r="C43" s="301"/>
      <c r="D43" s="62">
        <f t="shared" si="2"/>
        <v>0</v>
      </c>
      <c r="E43" s="54"/>
      <c r="F43" s="54"/>
      <c r="G43" s="40"/>
      <c r="H43" s="85"/>
      <c r="I43" s="86"/>
    </row>
    <row r="44" spans="1:9" ht="12.75">
      <c r="A44" s="102">
        <v>0</v>
      </c>
      <c r="B44" s="305" t="s">
        <v>273</v>
      </c>
      <c r="C44" s="306"/>
      <c r="D44" s="62">
        <f t="shared" si="2"/>
        <v>0</v>
      </c>
      <c r="E44" s="54"/>
      <c r="F44" s="54"/>
      <c r="G44" s="40"/>
      <c r="H44" s="85"/>
      <c r="I44" s="86"/>
    </row>
    <row r="45" spans="1:9" ht="12.75">
      <c r="A45" s="102">
        <v>0</v>
      </c>
      <c r="B45" s="299" t="s">
        <v>274</v>
      </c>
      <c r="C45" s="301"/>
      <c r="D45" s="62">
        <f t="shared" si="2"/>
        <v>0</v>
      </c>
      <c r="E45" s="54"/>
      <c r="F45" s="54"/>
      <c r="G45" s="40"/>
      <c r="H45" s="85"/>
      <c r="I45" s="86"/>
    </row>
    <row r="46" spans="1:9" ht="12.75">
      <c r="A46" s="102">
        <v>0</v>
      </c>
      <c r="B46" s="299" t="s">
        <v>275</v>
      </c>
      <c r="C46" s="301"/>
      <c r="D46" s="62">
        <f>A46*20</f>
        <v>0</v>
      </c>
      <c r="E46" s="54"/>
      <c r="F46" s="54"/>
      <c r="G46" s="40"/>
      <c r="H46" s="85"/>
      <c r="I46" s="86"/>
    </row>
    <row r="47" spans="1:9" ht="12.75">
      <c r="A47" s="102">
        <v>0</v>
      </c>
      <c r="B47" s="305" t="s">
        <v>276</v>
      </c>
      <c r="C47" s="306"/>
      <c r="D47" s="62">
        <f>A47*20</f>
        <v>0</v>
      </c>
      <c r="E47" s="54"/>
      <c r="F47" s="54"/>
      <c r="G47" s="40"/>
      <c r="H47" s="85"/>
      <c r="I47" s="86"/>
    </row>
    <row r="48" spans="1:9" ht="13.5" thickBot="1">
      <c r="A48" s="103">
        <v>0</v>
      </c>
      <c r="B48" s="302" t="s">
        <v>277</v>
      </c>
      <c r="C48" s="304"/>
      <c r="D48" s="67">
        <f>A48*20</f>
        <v>0</v>
      </c>
      <c r="E48" s="54"/>
      <c r="F48" s="54"/>
      <c r="G48" s="40"/>
      <c r="H48" s="85"/>
      <c r="I48" s="86"/>
    </row>
    <row r="49" spans="1:9" ht="12.75">
      <c r="A49" s="102">
        <v>0</v>
      </c>
      <c r="B49" s="148" t="s">
        <v>451</v>
      </c>
      <c r="C49" s="158"/>
      <c r="D49" s="62">
        <f>A49*30</f>
        <v>0</v>
      </c>
      <c r="E49" s="54"/>
      <c r="F49" s="54"/>
      <c r="G49" s="40"/>
      <c r="H49" s="85"/>
      <c r="I49" s="86"/>
    </row>
    <row r="50" spans="1:9" ht="13.5" thickBot="1">
      <c r="A50" s="103">
        <v>0</v>
      </c>
      <c r="B50" s="302" t="s">
        <v>278</v>
      </c>
      <c r="C50" s="304"/>
      <c r="D50" s="62">
        <f>A50*10</f>
        <v>0</v>
      </c>
      <c r="E50" s="54"/>
      <c r="F50" s="54"/>
      <c r="G50" s="40"/>
      <c r="H50" s="85"/>
      <c r="I50" s="86"/>
    </row>
    <row r="51" spans="1:9" ht="13.5" thickBot="1">
      <c r="A51" s="97"/>
      <c r="B51" s="299" t="s">
        <v>9</v>
      </c>
      <c r="C51" s="301"/>
      <c r="D51" s="66">
        <f>SUM(D28:D50)</f>
        <v>0</v>
      </c>
      <c r="E51" s="54"/>
      <c r="F51" s="54"/>
      <c r="G51" s="40"/>
      <c r="H51" s="85"/>
      <c r="I51" s="86"/>
    </row>
    <row r="52" spans="1:9" ht="13.5" thickBot="1">
      <c r="A52" s="217"/>
      <c r="B52" s="218"/>
      <c r="C52" s="218"/>
      <c r="D52" s="211"/>
      <c r="E52" s="211"/>
      <c r="F52" s="211"/>
      <c r="G52" s="212"/>
      <c r="H52" s="213"/>
      <c r="I52" s="214"/>
    </row>
    <row r="53" spans="1:9" ht="13.5" thickBot="1">
      <c r="A53" s="203"/>
      <c r="B53" s="14" t="s">
        <v>424</v>
      </c>
      <c r="C53" s="14" t="s">
        <v>369</v>
      </c>
      <c r="D53" s="14" t="s">
        <v>17</v>
      </c>
      <c r="E53" s="104" t="s">
        <v>423</v>
      </c>
      <c r="F53" s="39"/>
      <c r="G53" s="39"/>
      <c r="H53" s="39"/>
      <c r="I53" s="109"/>
    </row>
    <row r="54" spans="1:9" ht="12.75">
      <c r="A54" s="104" t="s">
        <v>261</v>
      </c>
      <c r="B54" s="66">
        <f>IF(BASE!$E$9&gt;10,10+(BASE!$E$9-10)*2,BASE!$E$9)</f>
        <v>5</v>
      </c>
      <c r="C54" s="62">
        <f>'Description classe'!$C$68</f>
        <v>2</v>
      </c>
      <c r="D54" s="132">
        <v>0</v>
      </c>
      <c r="E54" s="66">
        <f aca="true" t="shared" si="3" ref="E54:E59">B54+TRUNC(D54/C54)</f>
        <v>5</v>
      </c>
      <c r="F54" s="54"/>
      <c r="G54" s="54"/>
      <c r="H54" s="54"/>
      <c r="I54" s="83"/>
    </row>
    <row r="55" spans="1:9" ht="12.75">
      <c r="A55" s="112" t="s">
        <v>262</v>
      </c>
      <c r="B55" s="62">
        <f>IF(BASE!$E$10&gt;10,10+(BASE!$E$10-10)*2,BASE!$E$10)</f>
        <v>5</v>
      </c>
      <c r="C55" s="62">
        <f>'Description classe'!$C$68</f>
        <v>2</v>
      </c>
      <c r="D55" s="133">
        <v>0</v>
      </c>
      <c r="E55" s="62">
        <f t="shared" si="3"/>
        <v>5</v>
      </c>
      <c r="F55" s="54"/>
      <c r="G55" s="54"/>
      <c r="H55" s="54"/>
      <c r="I55" s="83"/>
    </row>
    <row r="56" spans="1:9" ht="12.75">
      <c r="A56" s="112" t="s">
        <v>263</v>
      </c>
      <c r="B56" s="62">
        <f>IF(BASE!$E$7&gt;10,10+(BASE!$E$7-10)*2,BASE!$E$7)</f>
        <v>5</v>
      </c>
      <c r="C56" s="62">
        <f>'Description classe'!$C$68</f>
        <v>2</v>
      </c>
      <c r="D56" s="133">
        <v>0</v>
      </c>
      <c r="E56" s="62">
        <f t="shared" si="3"/>
        <v>5</v>
      </c>
      <c r="F56" s="54"/>
      <c r="G56" s="54"/>
      <c r="H56" s="54"/>
      <c r="I56" s="83"/>
    </row>
    <row r="57" spans="1:9" ht="12.75">
      <c r="A57" s="112" t="s">
        <v>117</v>
      </c>
      <c r="B57" s="62">
        <f>IF(BASE!$E$8&gt;10,10+(BASE!$E$8-10)*2,BASE!$E$8)</f>
        <v>5</v>
      </c>
      <c r="C57" s="62">
        <f>'Description classe'!$C$68</f>
        <v>2</v>
      </c>
      <c r="D57" s="133">
        <v>0</v>
      </c>
      <c r="E57" s="62">
        <f t="shared" si="3"/>
        <v>5</v>
      </c>
      <c r="F57" s="54"/>
      <c r="G57" s="54"/>
      <c r="H57" s="54"/>
      <c r="I57" s="83"/>
    </row>
    <row r="58" spans="1:9" ht="12.75">
      <c r="A58" s="112" t="s">
        <v>264</v>
      </c>
      <c r="B58" s="62">
        <f>IF(BASE!$E$13&gt;10,10+(BASE!$E$13-10)*2,BASE!$E$13)</f>
        <v>5</v>
      </c>
      <c r="C58" s="62">
        <f>'Description classe'!$C$68</f>
        <v>2</v>
      </c>
      <c r="D58" s="133">
        <v>0</v>
      </c>
      <c r="E58" s="62">
        <f t="shared" si="3"/>
        <v>5</v>
      </c>
      <c r="F58" s="54"/>
      <c r="G58" s="54"/>
      <c r="H58" s="54"/>
      <c r="I58" s="83"/>
    </row>
    <row r="59" spans="1:9" ht="13.5" thickBot="1">
      <c r="A59" s="93" t="s">
        <v>265</v>
      </c>
      <c r="B59" s="67">
        <f>IF(BASE!$E$14&gt;10,10+(BASE!$E$14-10)*2,BASE!$E$14)</f>
        <v>5</v>
      </c>
      <c r="C59" s="62">
        <f>'Description classe'!$C$68</f>
        <v>2</v>
      </c>
      <c r="D59" s="134">
        <v>0</v>
      </c>
      <c r="E59" s="67">
        <f t="shared" si="3"/>
        <v>5</v>
      </c>
      <c r="F59" s="54"/>
      <c r="G59" s="54"/>
      <c r="H59" s="54"/>
      <c r="I59" s="83"/>
    </row>
    <row r="60" spans="1:9" ht="13.5" thickBot="1">
      <c r="A60" s="203"/>
      <c r="B60" s="40"/>
      <c r="C60" s="14" t="s">
        <v>427</v>
      </c>
      <c r="D60" s="92">
        <f>SUM(D54:D59)</f>
        <v>0</v>
      </c>
      <c r="E60" s="54"/>
      <c r="F60" s="54"/>
      <c r="G60" s="39"/>
      <c r="H60" s="54"/>
      <c r="I60" s="202"/>
    </row>
    <row r="61" spans="1:9" ht="13.5" thickBot="1">
      <c r="A61" s="203"/>
      <c r="B61" s="40"/>
      <c r="C61" s="39"/>
      <c r="D61" s="54"/>
      <c r="E61" s="54"/>
      <c r="F61" s="54"/>
      <c r="G61" s="39"/>
      <c r="H61" s="54"/>
      <c r="I61" s="86"/>
    </row>
    <row r="62" spans="1:9" ht="13.5" thickBot="1">
      <c r="A62" s="203"/>
      <c r="B62" s="14" t="s">
        <v>425</v>
      </c>
      <c r="C62" s="14" t="s">
        <v>369</v>
      </c>
      <c r="D62" s="13" t="s">
        <v>17</v>
      </c>
      <c r="E62" s="13" t="s">
        <v>426</v>
      </c>
      <c r="F62" s="54"/>
      <c r="G62" s="39"/>
      <c r="H62" s="54"/>
      <c r="I62" s="86"/>
    </row>
    <row r="63" spans="1:9" ht="12.75">
      <c r="A63" s="104" t="s">
        <v>261</v>
      </c>
      <c r="B63" s="66">
        <f>accki(BASE!E9)</f>
        <v>1</v>
      </c>
      <c r="C63" s="89">
        <f>'Description classe'!$C$69</f>
        <v>20</v>
      </c>
      <c r="D63" s="204">
        <v>0</v>
      </c>
      <c r="E63" s="66">
        <f aca="true" t="shared" si="4" ref="E63:E68">B63+TRUNC(D63/C63)</f>
        <v>1</v>
      </c>
      <c r="F63" s="54"/>
      <c r="G63" s="39"/>
      <c r="H63" s="54"/>
      <c r="I63" s="86"/>
    </row>
    <row r="64" spans="1:9" ht="12.75">
      <c r="A64" s="112" t="s">
        <v>262</v>
      </c>
      <c r="B64" s="62">
        <f>accki(BASE!E10)</f>
        <v>1</v>
      </c>
      <c r="C64" s="89">
        <f>'Description classe'!$C$69</f>
        <v>20</v>
      </c>
      <c r="D64" s="204">
        <v>0</v>
      </c>
      <c r="E64" s="62">
        <f t="shared" si="4"/>
        <v>1</v>
      </c>
      <c r="F64" s="54"/>
      <c r="G64" s="39"/>
      <c r="H64" s="54"/>
      <c r="I64" s="86"/>
    </row>
    <row r="65" spans="1:9" ht="12.75">
      <c r="A65" s="112" t="s">
        <v>263</v>
      </c>
      <c r="B65" s="62">
        <f>accki(BASE!E7)</f>
        <v>1</v>
      </c>
      <c r="C65" s="89">
        <f>'Description classe'!$C$69</f>
        <v>20</v>
      </c>
      <c r="D65" s="204">
        <v>0</v>
      </c>
      <c r="E65" s="62">
        <f t="shared" si="4"/>
        <v>1</v>
      </c>
      <c r="F65" s="54"/>
      <c r="G65" s="39"/>
      <c r="H65" s="54"/>
      <c r="I65" s="86"/>
    </row>
    <row r="66" spans="1:9" ht="12.75">
      <c r="A66" s="112" t="s">
        <v>117</v>
      </c>
      <c r="B66" s="62">
        <f>accki(BASE!E8)</f>
        <v>1</v>
      </c>
      <c r="C66" s="89">
        <f>'Description classe'!$C$69</f>
        <v>20</v>
      </c>
      <c r="D66" s="204">
        <v>0</v>
      </c>
      <c r="E66" s="62">
        <f t="shared" si="4"/>
        <v>1</v>
      </c>
      <c r="F66" s="54"/>
      <c r="G66" s="39"/>
      <c r="H66" s="54"/>
      <c r="I66" s="86"/>
    </row>
    <row r="67" spans="1:9" ht="12.75">
      <c r="A67" s="112" t="s">
        <v>264</v>
      </c>
      <c r="B67" s="62">
        <f>accki(BASE!E13)</f>
        <v>1</v>
      </c>
      <c r="C67" s="89">
        <f>'Description classe'!$C$69</f>
        <v>20</v>
      </c>
      <c r="D67" s="204">
        <v>0</v>
      </c>
      <c r="E67" s="62">
        <f t="shared" si="4"/>
        <v>1</v>
      </c>
      <c r="F67" s="54"/>
      <c r="G67" s="39"/>
      <c r="H67" s="54"/>
      <c r="I67" s="86"/>
    </row>
    <row r="68" spans="1:9" ht="13.5" thickBot="1">
      <c r="A68" s="93" t="s">
        <v>265</v>
      </c>
      <c r="B68" s="67">
        <f>accki(BASE!E14)</f>
        <v>1</v>
      </c>
      <c r="C68" s="89">
        <f>'Description classe'!$C$69</f>
        <v>20</v>
      </c>
      <c r="D68" s="205">
        <v>0</v>
      </c>
      <c r="E68" s="67">
        <f t="shared" si="4"/>
        <v>1</v>
      </c>
      <c r="F68" s="54"/>
      <c r="G68" s="39"/>
      <c r="H68" s="54"/>
      <c r="I68" s="86"/>
    </row>
    <row r="69" spans="1:9" ht="13.5" thickBot="1">
      <c r="A69" s="203"/>
      <c r="B69" s="54"/>
      <c r="C69" s="14" t="s">
        <v>427</v>
      </c>
      <c r="D69" s="92">
        <f>SUM(D63:D68)</f>
        <v>0</v>
      </c>
      <c r="E69" s="86"/>
      <c r="F69" s="54"/>
      <c r="G69" s="39"/>
      <c r="H69" s="54"/>
      <c r="I69" s="86"/>
    </row>
    <row r="70" spans="1:9" ht="13.5" thickBot="1">
      <c r="A70" s="219"/>
      <c r="B70" s="122"/>
      <c r="C70" s="122"/>
      <c r="D70" s="216"/>
      <c r="E70" s="14" t="s">
        <v>16</v>
      </c>
      <c r="F70" s="216"/>
      <c r="G70" s="124"/>
      <c r="H70" s="210"/>
      <c r="I70" s="84"/>
    </row>
    <row r="71" spans="1:9" ht="13.5" thickBot="1">
      <c r="A71" s="292" t="s">
        <v>102</v>
      </c>
      <c r="B71" s="293"/>
      <c r="C71" s="294"/>
      <c r="D71" s="98">
        <f>TRUNC(I12/40,)+TRUNC(I14/40,)</f>
        <v>0</v>
      </c>
      <c r="E71" s="92">
        <f>D71-A83</f>
        <v>0</v>
      </c>
      <c r="F71" s="211"/>
      <c r="G71" s="212"/>
      <c r="H71" s="213"/>
      <c r="I71" s="214"/>
    </row>
    <row r="72" spans="1:9" ht="13.5" thickBot="1">
      <c r="A72" s="97"/>
      <c r="B72" s="201" t="s">
        <v>134</v>
      </c>
      <c r="C72" s="39"/>
      <c r="D72" s="54"/>
      <c r="E72" s="54"/>
      <c r="F72" s="54"/>
      <c r="G72" s="40"/>
      <c r="H72" s="85"/>
      <c r="I72" s="86"/>
    </row>
    <row r="73" spans="1:9" ht="13.5" thickBot="1">
      <c r="A73" s="14" t="s">
        <v>97</v>
      </c>
      <c r="B73" s="13" t="s">
        <v>98</v>
      </c>
      <c r="C73" s="13" t="s">
        <v>132</v>
      </c>
      <c r="D73" s="13" t="s">
        <v>17</v>
      </c>
      <c r="E73" s="14" t="s">
        <v>100</v>
      </c>
      <c r="F73" s="14" t="s">
        <v>433</v>
      </c>
      <c r="G73" s="40"/>
      <c r="H73" s="85"/>
      <c r="I73" s="86"/>
    </row>
    <row r="74" spans="1:9" ht="12.75">
      <c r="A74" s="94">
        <v>0</v>
      </c>
      <c r="B74" s="100" t="s">
        <v>417</v>
      </c>
      <c r="C74" s="90">
        <v>50</v>
      </c>
      <c r="D74" s="89">
        <f aca="true" t="shared" si="5" ref="D74:D82">A74*50</f>
        <v>0</v>
      </c>
      <c r="E74" s="66">
        <f>A74*10</f>
        <v>0</v>
      </c>
      <c r="F74" s="66">
        <f>10+BASE!F9</f>
        <v>10</v>
      </c>
      <c r="G74" s="40"/>
      <c r="H74" s="85"/>
      <c r="I74" s="86"/>
    </row>
    <row r="75" spans="1:9" ht="12.75">
      <c r="A75" s="94">
        <v>0</v>
      </c>
      <c r="B75" s="100" t="s">
        <v>418</v>
      </c>
      <c r="C75" s="90">
        <v>50</v>
      </c>
      <c r="D75" s="89">
        <f t="shared" si="5"/>
        <v>0</v>
      </c>
      <c r="E75" s="62">
        <f>A75*10</f>
        <v>0</v>
      </c>
      <c r="F75" s="62">
        <f>20+BASE!F9</f>
        <v>20</v>
      </c>
      <c r="G75" s="40"/>
      <c r="H75" s="85"/>
      <c r="I75" s="86"/>
    </row>
    <row r="76" spans="1:9" ht="12.75">
      <c r="A76" s="94">
        <v>0</v>
      </c>
      <c r="B76" s="100" t="s">
        <v>419</v>
      </c>
      <c r="C76" s="90">
        <v>50</v>
      </c>
      <c r="D76" s="89">
        <f t="shared" si="5"/>
        <v>0</v>
      </c>
      <c r="E76" s="62">
        <f>A76*10</f>
        <v>0</v>
      </c>
      <c r="F76" s="62">
        <f>20+BASE!F9*3</f>
        <v>20</v>
      </c>
      <c r="G76" s="40"/>
      <c r="H76" s="85"/>
      <c r="I76" s="86"/>
    </row>
    <row r="77" spans="1:9" ht="12.75">
      <c r="A77" s="94">
        <v>0</v>
      </c>
      <c r="B77" s="100" t="s">
        <v>420</v>
      </c>
      <c r="C77" s="90">
        <v>50</v>
      </c>
      <c r="D77" s="89">
        <f t="shared" si="5"/>
        <v>0</v>
      </c>
      <c r="E77" s="62">
        <f>A77*10</f>
        <v>0</v>
      </c>
      <c r="F77" s="62">
        <f>20+BASE!F9</f>
        <v>20</v>
      </c>
      <c r="G77" s="40"/>
      <c r="H77" s="85"/>
      <c r="I77" s="86"/>
    </row>
    <row r="78" spans="1:9" ht="12.75">
      <c r="A78" s="94">
        <v>0</v>
      </c>
      <c r="B78" s="100" t="s">
        <v>421</v>
      </c>
      <c r="C78" s="90">
        <v>50</v>
      </c>
      <c r="D78" s="89">
        <f t="shared" si="5"/>
        <v>0</v>
      </c>
      <c r="E78" s="62">
        <f>A78*10</f>
        <v>0</v>
      </c>
      <c r="F78" s="62">
        <f>20+BASE!F9</f>
        <v>20</v>
      </c>
      <c r="G78" s="40"/>
      <c r="H78" s="85"/>
      <c r="I78" s="86"/>
    </row>
    <row r="79" spans="1:9" ht="12.75">
      <c r="A79" s="94">
        <v>0</v>
      </c>
      <c r="B79" s="100" t="s">
        <v>95</v>
      </c>
      <c r="C79" s="90">
        <v>50</v>
      </c>
      <c r="D79" s="89">
        <f t="shared" si="5"/>
        <v>0</v>
      </c>
      <c r="E79" s="62">
        <f>A79*30</f>
        <v>0</v>
      </c>
      <c r="F79" s="62">
        <f>20+BASE!F14*2</f>
        <v>20</v>
      </c>
      <c r="G79" s="54"/>
      <c r="H79" s="200"/>
      <c r="I79" s="83"/>
    </row>
    <row r="80" spans="1:9" ht="12.75">
      <c r="A80" s="94">
        <v>0</v>
      </c>
      <c r="B80" s="100" t="s">
        <v>422</v>
      </c>
      <c r="C80" s="90">
        <v>50</v>
      </c>
      <c r="D80" s="89">
        <f t="shared" si="5"/>
        <v>0</v>
      </c>
      <c r="E80" s="62">
        <f>A80*10</f>
        <v>0</v>
      </c>
      <c r="F80" s="62">
        <f>20+BASE!F9</f>
        <v>20</v>
      </c>
      <c r="G80" s="54"/>
      <c r="H80" s="200"/>
      <c r="I80" s="83"/>
    </row>
    <row r="81" spans="1:9" ht="12.75">
      <c r="A81" s="94">
        <v>0</v>
      </c>
      <c r="B81" s="100" t="s">
        <v>255</v>
      </c>
      <c r="C81" s="90">
        <v>50</v>
      </c>
      <c r="D81" s="89">
        <f t="shared" si="5"/>
        <v>0</v>
      </c>
      <c r="E81" s="62">
        <f>A81*10</f>
        <v>0</v>
      </c>
      <c r="F81" s="62">
        <f>20+BASE!F9</f>
        <v>20</v>
      </c>
      <c r="G81" s="54"/>
      <c r="H81" s="200"/>
      <c r="I81" s="83"/>
    </row>
    <row r="82" spans="1:9" ht="13.5" thickBot="1">
      <c r="A82" s="95">
        <v>0</v>
      </c>
      <c r="B82" s="79" t="s">
        <v>96</v>
      </c>
      <c r="C82" s="91">
        <v>50</v>
      </c>
      <c r="D82" s="88">
        <f t="shared" si="5"/>
        <v>0</v>
      </c>
      <c r="E82" s="67">
        <f>A82*10</f>
        <v>0</v>
      </c>
      <c r="F82" s="67">
        <f>30+BASE!F9*2</f>
        <v>30</v>
      </c>
      <c r="G82" s="40"/>
      <c r="H82" s="54"/>
      <c r="I82" s="202"/>
    </row>
    <row r="83" spans="1:9" ht="13.5" thickBot="1">
      <c r="A83" s="92">
        <f>SUM(A74:A82)</f>
        <v>0</v>
      </c>
      <c r="B83" s="54"/>
      <c r="C83" s="78" t="s">
        <v>101</v>
      </c>
      <c r="D83" s="92">
        <f>SUM(D74:D82)</f>
        <v>0</v>
      </c>
      <c r="E83" s="92">
        <f>SUM(E79:E82)</f>
        <v>0</v>
      </c>
      <c r="F83" s="54"/>
      <c r="G83" s="40"/>
      <c r="H83" s="85"/>
      <c r="I83" s="86"/>
    </row>
    <row r="84" spans="1:9" ht="13.5" thickBot="1">
      <c r="A84" s="87"/>
      <c r="B84" s="54"/>
      <c r="C84" s="14" t="s">
        <v>9</v>
      </c>
      <c r="D84" s="55">
        <f>IF(G85=1,F86,D83)</f>
        <v>0</v>
      </c>
      <c r="E84" s="54"/>
      <c r="F84" s="54"/>
      <c r="G84" s="39"/>
      <c r="H84" s="85"/>
      <c r="I84" s="86"/>
    </row>
    <row r="85" spans="1:9" ht="13.5" hidden="1" thickBot="1">
      <c r="A85" s="87"/>
      <c r="B85" s="201" t="s">
        <v>134</v>
      </c>
      <c r="C85" s="39"/>
      <c r="D85" s="39"/>
      <c r="E85" s="54"/>
      <c r="F85" s="154" t="s">
        <v>99</v>
      </c>
      <c r="G85" s="88">
        <f>regtao(BASE!C2)</f>
        <v>0</v>
      </c>
      <c r="H85" s="85"/>
      <c r="I85" s="86"/>
    </row>
    <row r="86" spans="1:9" ht="13.5" hidden="1" thickBot="1">
      <c r="A86" s="215"/>
      <c r="B86" s="216"/>
      <c r="C86" s="216"/>
      <c r="D86" s="216"/>
      <c r="E86" s="216"/>
      <c r="F86" s="92">
        <f>IF(AND(D83&gt;1,G85=1),(((D83/50)*20)-10),0)</f>
        <v>0</v>
      </c>
      <c r="G86" s="96"/>
      <c r="H86" s="210"/>
      <c r="I86" s="84"/>
    </row>
    <row r="87" spans="1:9" ht="13.5" thickBot="1">
      <c r="A87" s="209"/>
      <c r="B87" s="302" t="s">
        <v>38</v>
      </c>
      <c r="C87" s="304"/>
      <c r="D87" s="88">
        <f>I21+D16+D84+D60+D69+H21</f>
        <v>0</v>
      </c>
      <c r="E87" s="210"/>
      <c r="F87" s="210"/>
      <c r="G87" s="210"/>
      <c r="H87" s="210"/>
      <c r="I87" s="84"/>
    </row>
  </sheetData>
  <sheetProtection/>
  <mergeCells count="27">
    <mergeCell ref="B46:C46"/>
    <mergeCell ref="B41:C41"/>
    <mergeCell ref="B87:C87"/>
    <mergeCell ref="B47:C47"/>
    <mergeCell ref="B48:C48"/>
    <mergeCell ref="B50:C50"/>
    <mergeCell ref="B51:C51"/>
    <mergeCell ref="A71:C71"/>
    <mergeCell ref="A10:I10"/>
    <mergeCell ref="A17:I17"/>
    <mergeCell ref="A25:I25"/>
    <mergeCell ref="A27:C27"/>
    <mergeCell ref="B33:C33"/>
    <mergeCell ref="B39:C39"/>
    <mergeCell ref="B34:C34"/>
    <mergeCell ref="B29:C29"/>
    <mergeCell ref="B38:C38"/>
    <mergeCell ref="E7:F7"/>
    <mergeCell ref="B45:C45"/>
    <mergeCell ref="B43:C43"/>
    <mergeCell ref="B37:C37"/>
    <mergeCell ref="B44:C44"/>
    <mergeCell ref="B35:C35"/>
    <mergeCell ref="B31:C31"/>
    <mergeCell ref="B30:C30"/>
    <mergeCell ref="B28:C28"/>
    <mergeCell ref="B32:C32"/>
  </mergeCells>
  <dataValidations count="1">
    <dataValidation type="list" allowBlank="1" showInputMessage="1" showErrorMessage="1" sqref="B19:B24 E19:E24">
      <formula1>$M$11:$M$42</formula1>
    </dataValidation>
  </dataValidations>
  <printOptions horizontalCentered="1" verticalCentered="1"/>
  <pageMargins left="0.1968503937007874" right="0.1968503937007874" top="0.3937007874015748" bottom="0.196850393700787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0:J57"/>
  <sheetViews>
    <sheetView zoomScalePageLayoutView="0" workbookViewId="0" topLeftCell="A1">
      <selection activeCell="G38" sqref="G38"/>
    </sheetView>
  </sheetViews>
  <sheetFormatPr defaultColWidth="11.421875" defaultRowHeight="12.75"/>
  <cols>
    <col min="2" max="2" width="10.8515625" style="0" bestFit="1" customWidth="1"/>
    <col min="3" max="3" width="11.7109375" style="0" bestFit="1" customWidth="1"/>
    <col min="4" max="4" width="6.8515625" style="0" bestFit="1" customWidth="1"/>
    <col min="5" max="5" width="11.28125" style="0" bestFit="1" customWidth="1"/>
    <col min="6" max="6" width="11.140625" style="0" bestFit="1" customWidth="1"/>
    <col min="7" max="7" width="6.8515625" style="0" bestFit="1" customWidth="1"/>
    <col min="8" max="8" width="7.421875" style="0" bestFit="1" customWidth="1"/>
    <col min="9" max="9" width="6.140625" style="0" bestFit="1" customWidth="1"/>
    <col min="10" max="10" width="8.28125" style="0" bestFit="1" customWidth="1"/>
  </cols>
  <sheetData>
    <row r="9" ht="13.5" thickBot="1"/>
    <row r="10" spans="1:10" ht="13.5" thickBot="1">
      <c r="A10" s="292" t="s">
        <v>143</v>
      </c>
      <c r="B10" s="293"/>
      <c r="C10" s="293"/>
      <c r="D10" s="293"/>
      <c r="E10" s="293"/>
      <c r="F10" s="293"/>
      <c r="G10" s="293"/>
      <c r="H10" s="293"/>
      <c r="I10" s="293"/>
      <c r="J10" s="294"/>
    </row>
    <row r="11" spans="1:10" ht="13.5" thickBot="1">
      <c r="A11" s="105"/>
      <c r="B11" s="106"/>
      <c r="C11" s="106"/>
      <c r="D11" s="106"/>
      <c r="E11" s="106"/>
      <c r="F11" s="106"/>
      <c r="G11" s="106"/>
      <c r="H11" s="106"/>
      <c r="I11" s="106"/>
      <c r="J11" s="65"/>
    </row>
    <row r="12" spans="1:10" ht="13.5" thickBot="1">
      <c r="A12" s="115"/>
      <c r="B12" s="292" t="s">
        <v>252</v>
      </c>
      <c r="C12" s="293"/>
      <c r="D12" s="293"/>
      <c r="E12" s="293"/>
      <c r="F12" s="293"/>
      <c r="G12" s="293"/>
      <c r="H12" s="294"/>
      <c r="I12" s="36"/>
      <c r="J12" s="116"/>
    </row>
    <row r="13" spans="1:10" ht="13.5" thickBot="1">
      <c r="A13" s="117"/>
      <c r="B13" s="14" t="s">
        <v>37</v>
      </c>
      <c r="C13" s="14" t="s">
        <v>132</v>
      </c>
      <c r="D13" s="14" t="s">
        <v>32</v>
      </c>
      <c r="E13" s="14" t="s">
        <v>149</v>
      </c>
      <c r="F13" s="14" t="s">
        <v>43</v>
      </c>
      <c r="G13" s="14" t="s">
        <v>150</v>
      </c>
      <c r="H13" s="14" t="s">
        <v>9</v>
      </c>
      <c r="I13" s="2"/>
      <c r="J13" s="3"/>
    </row>
    <row r="14" spans="1:10" ht="13.5" thickBot="1">
      <c r="A14" s="1"/>
      <c r="B14" s="108">
        <v>0</v>
      </c>
      <c r="C14" s="61">
        <f>'Description classe'!C72</f>
        <v>2</v>
      </c>
      <c r="D14" s="41">
        <f>(TRUNC(B14/C14))*5</f>
        <v>0</v>
      </c>
      <c r="E14" s="41" t="str">
        <f>basezeon(BASE!E14)</f>
        <v>70</v>
      </c>
      <c r="F14" s="41">
        <f>('Description classe'!C84+Avantage!B63)*BASE!E2</f>
        <v>10</v>
      </c>
      <c r="G14" s="114">
        <v>0</v>
      </c>
      <c r="H14" s="41">
        <f>D14+G14+E14+F14</f>
        <v>80</v>
      </c>
      <c r="I14" s="2"/>
      <c r="J14" s="3"/>
    </row>
    <row r="15" spans="1:10" ht="13.5" thickBot="1">
      <c r="A15" s="1"/>
      <c r="B15" s="38"/>
      <c r="C15" s="38"/>
      <c r="D15" s="38"/>
      <c r="E15" s="38"/>
      <c r="F15" s="38"/>
      <c r="G15" s="38"/>
      <c r="H15" s="38"/>
      <c r="I15" s="2"/>
      <c r="J15" s="3"/>
    </row>
    <row r="16" spans="1:10" ht="13.5" thickBot="1">
      <c r="A16" s="1"/>
      <c r="B16" s="292" t="s">
        <v>160</v>
      </c>
      <c r="C16" s="294"/>
      <c r="D16" s="119">
        <f>Maginnee(H20)+Avantage!B57</f>
        <v>0</v>
      </c>
      <c r="E16" s="41" t="s">
        <v>161</v>
      </c>
      <c r="F16" s="292" t="s">
        <v>453</v>
      </c>
      <c r="G16" s="294"/>
      <c r="H16" s="61">
        <f>TRUNC((H20*Avantage!D49)/Avantage!B65)</f>
        <v>5</v>
      </c>
      <c r="I16" s="2"/>
      <c r="J16" s="3"/>
    </row>
    <row r="17" spans="1:10" ht="13.5" thickBot="1">
      <c r="A17" s="1"/>
      <c r="B17" s="2"/>
      <c r="C17" s="2"/>
      <c r="D17" s="2"/>
      <c r="E17" s="2"/>
      <c r="F17" s="2"/>
      <c r="G17" s="2"/>
      <c r="H17" s="2"/>
      <c r="I17" s="2"/>
      <c r="J17" s="3"/>
    </row>
    <row r="18" spans="1:10" ht="13.5" thickBot="1">
      <c r="A18" s="1"/>
      <c r="B18" s="292" t="s">
        <v>253</v>
      </c>
      <c r="C18" s="293"/>
      <c r="D18" s="293"/>
      <c r="E18" s="293"/>
      <c r="F18" s="293"/>
      <c r="G18" s="293"/>
      <c r="H18" s="294"/>
      <c r="I18" s="2"/>
      <c r="J18" s="3"/>
    </row>
    <row r="19" spans="1:10" ht="13.5" thickBot="1">
      <c r="A19" s="1"/>
      <c r="B19" s="14" t="s">
        <v>37</v>
      </c>
      <c r="C19" s="13" t="s">
        <v>151</v>
      </c>
      <c r="D19" s="13" t="s">
        <v>152</v>
      </c>
      <c r="E19" s="13" t="s">
        <v>32</v>
      </c>
      <c r="F19" s="13"/>
      <c r="G19" s="13" t="s">
        <v>150</v>
      </c>
      <c r="H19" s="13" t="s">
        <v>9</v>
      </c>
      <c r="I19" s="2"/>
      <c r="J19" s="3"/>
    </row>
    <row r="20" spans="1:10" ht="13.5" thickBot="1">
      <c r="A20" s="1"/>
      <c r="B20" s="108">
        <v>0</v>
      </c>
      <c r="C20" s="119">
        <f>'Description classe'!C73</f>
        <v>60</v>
      </c>
      <c r="D20" s="61">
        <f>1+TRUNC(B20/C20)</f>
        <v>1</v>
      </c>
      <c r="E20" s="41" t="str">
        <f>baseAMR(BASE!E14)</f>
        <v>5</v>
      </c>
      <c r="F20" s="44"/>
      <c r="G20" s="99">
        <v>0</v>
      </c>
      <c r="H20" s="41">
        <f>D20*E20+G20</f>
        <v>5</v>
      </c>
      <c r="I20" s="2"/>
      <c r="J20" s="3"/>
    </row>
    <row r="21" spans="1:10" ht="13.5" thickBot="1">
      <c r="A21" s="1"/>
      <c r="B21" s="2"/>
      <c r="C21" s="2"/>
      <c r="D21" s="2"/>
      <c r="E21" s="2"/>
      <c r="F21" s="2"/>
      <c r="G21" s="2"/>
      <c r="H21" s="2"/>
      <c r="I21" s="2"/>
      <c r="J21" s="3"/>
    </row>
    <row r="22" spans="1:10" ht="13.5" thickBot="1">
      <c r="A22" s="1"/>
      <c r="B22" s="292" t="s">
        <v>254</v>
      </c>
      <c r="C22" s="293"/>
      <c r="D22" s="293"/>
      <c r="E22" s="293"/>
      <c r="F22" s="293"/>
      <c r="G22" s="293"/>
      <c r="H22" s="294"/>
      <c r="I22" s="2"/>
      <c r="J22" s="3"/>
    </row>
    <row r="23" spans="1:10" ht="13.5" thickBot="1">
      <c r="A23" s="1"/>
      <c r="B23" s="14" t="s">
        <v>37</v>
      </c>
      <c r="C23" s="13" t="s">
        <v>132</v>
      </c>
      <c r="D23" s="13" t="s">
        <v>32</v>
      </c>
      <c r="E23" s="13" t="s">
        <v>154</v>
      </c>
      <c r="F23" s="13"/>
      <c r="G23" s="13" t="s">
        <v>150</v>
      </c>
      <c r="H23" s="13" t="s">
        <v>9</v>
      </c>
      <c r="I23" s="2"/>
      <c r="J23" s="3"/>
    </row>
    <row r="24" spans="1:10" ht="13.5" thickBot="1">
      <c r="A24" s="14" t="s">
        <v>2</v>
      </c>
      <c r="B24" s="108">
        <v>0</v>
      </c>
      <c r="C24" s="41">
        <f>'Description classe'!C74</f>
        <v>2</v>
      </c>
      <c r="D24" s="41">
        <f>TRUNC(B24/C24)</f>
        <v>0</v>
      </c>
      <c r="E24" s="61" t="str">
        <f>BASE!F8</f>
        <v>0</v>
      </c>
      <c r="F24" s="113"/>
      <c r="G24" s="152">
        <v>0</v>
      </c>
      <c r="H24" s="41">
        <f>D24+E24+G24</f>
        <v>0</v>
      </c>
      <c r="I24" s="2"/>
      <c r="J24" s="3"/>
    </row>
    <row r="25" spans="1:10" ht="13.5" thickBot="1">
      <c r="A25" s="1"/>
      <c r="B25" s="292" t="s">
        <v>155</v>
      </c>
      <c r="C25" s="293"/>
      <c r="D25" s="293"/>
      <c r="E25" s="293"/>
      <c r="F25" s="293"/>
      <c r="G25" s="293"/>
      <c r="H25" s="294"/>
      <c r="I25" s="2"/>
      <c r="J25" s="3"/>
    </row>
    <row r="26" spans="1:10" ht="13.5" thickBot="1">
      <c r="A26" s="1"/>
      <c r="B26" s="292" t="s">
        <v>156</v>
      </c>
      <c r="C26" s="293"/>
      <c r="D26" s="293"/>
      <c r="E26" s="108">
        <v>0</v>
      </c>
      <c r="F26" s="292" t="s">
        <v>159</v>
      </c>
      <c r="G26" s="294"/>
      <c r="H26" s="121">
        <v>0</v>
      </c>
      <c r="I26" s="2"/>
      <c r="J26" s="3"/>
    </row>
    <row r="27" spans="1:10" ht="13.5" thickBot="1">
      <c r="A27" s="1"/>
      <c r="B27" s="292" t="s">
        <v>157</v>
      </c>
      <c r="C27" s="294"/>
      <c r="D27" s="41">
        <f>IF(H26=1,H24+E26,H24-E26)</f>
        <v>0</v>
      </c>
      <c r="E27" s="292" t="s">
        <v>158</v>
      </c>
      <c r="F27" s="294"/>
      <c r="G27" s="41">
        <f>IF(H26=0,H24+E26,H24-E26)</f>
        <v>0</v>
      </c>
      <c r="H27" s="44"/>
      <c r="I27" s="2"/>
      <c r="J27" s="3"/>
    </row>
    <row r="28" spans="1:10" ht="13.5" thickBot="1">
      <c r="A28" s="1"/>
      <c r="B28" s="2"/>
      <c r="C28" s="2"/>
      <c r="D28" s="2"/>
      <c r="E28" s="2"/>
      <c r="F28" s="2"/>
      <c r="G28" s="2"/>
      <c r="H28" s="2"/>
      <c r="I28" s="2"/>
      <c r="J28" s="3"/>
    </row>
    <row r="29" spans="1:10" ht="13.5" thickBot="1">
      <c r="A29" s="1"/>
      <c r="B29" s="292" t="s">
        <v>162</v>
      </c>
      <c r="C29" s="293"/>
      <c r="D29" s="293"/>
      <c r="E29" s="293"/>
      <c r="F29" s="293"/>
      <c r="G29" s="293"/>
      <c r="H29" s="294"/>
      <c r="I29" s="2"/>
      <c r="J29" s="3"/>
    </row>
    <row r="30" spans="1:10" ht="13.5" thickBot="1">
      <c r="A30" s="1"/>
      <c r="B30" s="39"/>
      <c r="C30" s="39"/>
      <c r="D30" s="14" t="s">
        <v>139</v>
      </c>
      <c r="E30" s="13" t="s">
        <v>164</v>
      </c>
      <c r="F30" s="14" t="s">
        <v>16</v>
      </c>
      <c r="G30" s="39"/>
      <c r="H30" s="39"/>
      <c r="I30" s="2"/>
      <c r="J30" s="3"/>
    </row>
    <row r="31" spans="1:10" ht="13.5" thickBot="1">
      <c r="A31" s="1"/>
      <c r="B31" s="292" t="s">
        <v>163</v>
      </c>
      <c r="C31" s="294"/>
      <c r="D31" s="123" t="str">
        <f>voiesmax(BASE!E11)</f>
        <v>0</v>
      </c>
      <c r="E31" s="123">
        <f>'Description classe'!C86*D31</f>
        <v>0</v>
      </c>
      <c r="F31" s="123">
        <f>E31-C33-C34-C35-C37-G33-G34-G35-G36-G37-F39-J42</f>
        <v>0</v>
      </c>
      <c r="G31" s="39"/>
      <c r="H31" s="37"/>
      <c r="I31" s="2"/>
      <c r="J31" s="3"/>
    </row>
    <row r="32" spans="1:10" ht="13.5" thickBot="1">
      <c r="A32" s="104" t="s">
        <v>166</v>
      </c>
      <c r="B32" s="39"/>
      <c r="C32" s="104" t="s">
        <v>31</v>
      </c>
      <c r="D32" s="104" t="s">
        <v>167</v>
      </c>
      <c r="E32" s="104" t="s">
        <v>166</v>
      </c>
      <c r="F32" s="39"/>
      <c r="G32" s="14" t="s">
        <v>31</v>
      </c>
      <c r="H32" s="73" t="s">
        <v>167</v>
      </c>
      <c r="I32" s="39"/>
      <c r="J32" s="3"/>
    </row>
    <row r="33" spans="1:10" ht="12.75">
      <c r="A33" s="130">
        <v>1</v>
      </c>
      <c r="B33" s="73" t="s">
        <v>165</v>
      </c>
      <c r="C33" s="131">
        <v>0</v>
      </c>
      <c r="D33" s="66">
        <f>IF(OR($C$39=0,Avantage!$B$62=1),IF(OR(A33=1,Avantage!$B$62=1),C33,TRUNC(C33/2)),TRUNC(C33/2))+Avantage!D50</f>
        <v>0</v>
      </c>
      <c r="E33" s="129">
        <f>IF(A33=1,0,1)</f>
        <v>0</v>
      </c>
      <c r="F33" s="73" t="s">
        <v>168</v>
      </c>
      <c r="G33" s="132">
        <v>0</v>
      </c>
      <c r="H33" s="245">
        <f>IF(OR($C$39=0,Avantage!$B$62=1),IF(OR(E33=1,Avantage!$B$62=1),G33,TRUNC(G33/2)),TRUNC(G33/2))+Avantage!D51</f>
        <v>0</v>
      </c>
      <c r="I33" s="40"/>
      <c r="J33" s="3"/>
    </row>
    <row r="34" spans="1:10" ht="12.75">
      <c r="A34" s="102">
        <v>1</v>
      </c>
      <c r="B34" s="100" t="s">
        <v>169</v>
      </c>
      <c r="C34" s="135">
        <v>0</v>
      </c>
      <c r="D34" s="62">
        <f>IF(OR($C$39=0,Avantage!$B$62=1),IF(OR(A34=1,Avantage!$B$62=1),C34,TRUNC(C34/2)),TRUNC(C34/2))+Avantage!D52</f>
        <v>0</v>
      </c>
      <c r="E34" s="89">
        <f>IF(A34=1,0,1)</f>
        <v>0</v>
      </c>
      <c r="F34" s="100" t="s">
        <v>170</v>
      </c>
      <c r="G34" s="133">
        <v>0</v>
      </c>
      <c r="H34" s="246">
        <f>IF(OR($C$39=0,Avantage!$B$62=1),IF(OR(E34=1,Avantage!$B$62=1),G34,TRUNC(G34/2)),TRUNC(G34/2))+Avantage!D53</f>
        <v>0</v>
      </c>
      <c r="I34" s="40"/>
      <c r="J34" s="3"/>
    </row>
    <row r="35" spans="1:10" ht="12.75">
      <c r="A35" s="102">
        <v>1</v>
      </c>
      <c r="B35" s="100" t="s">
        <v>171</v>
      </c>
      <c r="C35" s="135">
        <v>0</v>
      </c>
      <c r="D35" s="62">
        <f>IF(OR($C$39=0,Avantage!$B$62=1),IF(OR(A35=1,Avantage!$B$62=1),C35,TRUNC(C35/2)),TRUNC(C35/2))+Avantage!D54</f>
        <v>0</v>
      </c>
      <c r="E35" s="89">
        <f>IF(A35=1,0,1)</f>
        <v>0</v>
      </c>
      <c r="F35" s="100" t="s">
        <v>172</v>
      </c>
      <c r="G35" s="133">
        <v>0</v>
      </c>
      <c r="H35" s="246">
        <f>IF(OR($C$39=0,Avantage!$B$62=1),IF(OR(E35=1,Avantage!$B$62=1),G35,TRUNC(G35/2)),TRUNC(G35/2))+Avantage!D55</f>
        <v>0</v>
      </c>
      <c r="I35" s="40"/>
      <c r="J35" s="3"/>
    </row>
    <row r="36" spans="1:10" ht="12.75">
      <c r="A36" s="102">
        <v>1</v>
      </c>
      <c r="B36" s="100" t="s">
        <v>173</v>
      </c>
      <c r="C36" s="135">
        <v>0</v>
      </c>
      <c r="D36" s="62">
        <f>IF(OR($C$39=0,Avantage!$B$62=1),IF(OR(A36=1,Avantage!$B$62=1),C36,TRUNC(C36/2)),TRUNC(C36/2))+Avantage!D56</f>
        <v>0</v>
      </c>
      <c r="E36" s="89">
        <f>IF(A36=1,0,1)</f>
        <v>0</v>
      </c>
      <c r="F36" s="100" t="s">
        <v>174</v>
      </c>
      <c r="G36" s="133">
        <v>0</v>
      </c>
      <c r="H36" s="246">
        <f>IF(OR($C$39=0,Avantage!$B$62=1),IF(OR(E36=1,Avantage!$B$62=1),G36,TRUNC(G36/2)),TRUNC(G36/2))+Avantage!D57</f>
        <v>0</v>
      </c>
      <c r="I36" s="40"/>
      <c r="J36" s="3"/>
    </row>
    <row r="37" spans="1:10" ht="13.5" thickBot="1">
      <c r="A37" s="103">
        <v>1</v>
      </c>
      <c r="B37" s="79" t="s">
        <v>175</v>
      </c>
      <c r="C37" s="136">
        <v>0</v>
      </c>
      <c r="D37" s="67">
        <f>IF(OR($C$39=0,Avantage!$B$62=1),IF(OR(A37=1,Avantage!$B$62=1),C37,TRUNC(C37/2)),TRUNC(C37/2))+Avantage!D58</f>
        <v>0</v>
      </c>
      <c r="E37" s="88">
        <f>IF(A37=1,0,1)</f>
        <v>0</v>
      </c>
      <c r="F37" s="79" t="s">
        <v>176</v>
      </c>
      <c r="G37" s="134">
        <v>0</v>
      </c>
      <c r="H37" s="247">
        <f>IF(OR($C$39=0,Avantage!$B$62=1),IF(OR(E37=1,Avantage!$B$62=1),G37,TRUNC(G37/2)),TRUNC(G37/2))+Avantage!D59</f>
        <v>0</v>
      </c>
      <c r="I37" s="40"/>
      <c r="J37" s="3"/>
    </row>
    <row r="38" spans="1:10" ht="13.5" thickBot="1">
      <c r="A38" s="1"/>
      <c r="B38" s="39"/>
      <c r="C38" s="14" t="s">
        <v>166</v>
      </c>
      <c r="D38" s="124"/>
      <c r="E38" s="122"/>
      <c r="F38" s="14" t="s">
        <v>31</v>
      </c>
      <c r="G38" s="13" t="s">
        <v>167</v>
      </c>
      <c r="H38" s="93" t="s">
        <v>178</v>
      </c>
      <c r="I38" s="2"/>
      <c r="J38" s="3"/>
    </row>
    <row r="39" spans="1:10" ht="13.5" thickBot="1">
      <c r="A39" s="1"/>
      <c r="B39" s="2"/>
      <c r="C39" s="108">
        <v>0</v>
      </c>
      <c r="D39" s="293" t="s">
        <v>177</v>
      </c>
      <c r="E39" s="293"/>
      <c r="F39" s="108">
        <v>0</v>
      </c>
      <c r="G39" s="92">
        <f>IF(OR($C$39=1,Avantage!B62=1),F39,TRUNC(F39/2))+Avantage!D60</f>
        <v>0</v>
      </c>
      <c r="H39" s="139"/>
      <c r="I39" s="2"/>
      <c r="J39" s="3"/>
    </row>
    <row r="40" spans="1:10" ht="13.5" thickBot="1">
      <c r="A40" s="117"/>
      <c r="B40" s="37"/>
      <c r="C40" s="38"/>
      <c r="D40" s="39"/>
      <c r="E40" s="39"/>
      <c r="F40" s="38"/>
      <c r="G40" s="54"/>
      <c r="H40" s="37"/>
      <c r="I40" s="37"/>
      <c r="J40" s="125"/>
    </row>
    <row r="41" spans="1:10" ht="13.5" thickBot="1">
      <c r="A41" s="1"/>
      <c r="B41" s="2"/>
      <c r="C41" s="14" t="s">
        <v>180</v>
      </c>
      <c r="D41" s="128" t="s">
        <v>182</v>
      </c>
      <c r="E41" s="127" t="s">
        <v>181</v>
      </c>
      <c r="F41" s="128" t="s">
        <v>183</v>
      </c>
      <c r="G41" s="126" t="s">
        <v>184</v>
      </c>
      <c r="H41" s="14" t="s">
        <v>185</v>
      </c>
      <c r="I41" s="14" t="s">
        <v>186</v>
      </c>
      <c r="J41" s="14" t="s">
        <v>187</v>
      </c>
    </row>
    <row r="42" spans="1:10" ht="13.5" thickBot="1">
      <c r="A42" s="1"/>
      <c r="B42" s="292" t="s">
        <v>179</v>
      </c>
      <c r="C42" s="304"/>
      <c r="D42" s="137">
        <v>0</v>
      </c>
      <c r="E42" s="138">
        <v>0</v>
      </c>
      <c r="F42" s="138">
        <v>0</v>
      </c>
      <c r="G42" s="138">
        <v>0</v>
      </c>
      <c r="H42" s="138">
        <v>0</v>
      </c>
      <c r="I42" s="138">
        <v>0</v>
      </c>
      <c r="J42" s="61">
        <f>D42*2+E42*4+F42*6+G42*8+H42*10+I42*12</f>
        <v>0</v>
      </c>
    </row>
    <row r="43" spans="1:10" ht="13.5" thickBot="1">
      <c r="A43" s="1"/>
      <c r="B43" s="2"/>
      <c r="C43" s="47"/>
      <c r="D43" s="39"/>
      <c r="E43" s="39"/>
      <c r="F43" s="37"/>
      <c r="G43" s="37"/>
      <c r="H43" s="37"/>
      <c r="I43" s="2"/>
      <c r="J43" s="3"/>
    </row>
    <row r="44" spans="1:10" ht="13.5" thickBot="1">
      <c r="A44" s="1"/>
      <c r="B44" s="292" t="s">
        <v>188</v>
      </c>
      <c r="C44" s="298"/>
      <c r="D44" s="298"/>
      <c r="E44" s="298"/>
      <c r="F44" s="298"/>
      <c r="G44" s="298"/>
      <c r="H44" s="296"/>
      <c r="I44" s="2"/>
      <c r="J44" s="3"/>
    </row>
    <row r="45" spans="1:10" ht="13.5" thickBot="1">
      <c r="A45" s="1"/>
      <c r="B45" s="2"/>
      <c r="C45" s="104" t="s">
        <v>132</v>
      </c>
      <c r="D45" s="73" t="s">
        <v>37</v>
      </c>
      <c r="E45" s="73" t="s">
        <v>32</v>
      </c>
      <c r="F45" s="73" t="s">
        <v>10</v>
      </c>
      <c r="G45" s="73" t="s">
        <v>43</v>
      </c>
      <c r="H45" s="73" t="s">
        <v>189</v>
      </c>
      <c r="I45" s="73" t="s">
        <v>9</v>
      </c>
      <c r="J45" s="3"/>
    </row>
    <row r="46" spans="1:10" ht="12.75">
      <c r="A46" s="104" t="s">
        <v>7</v>
      </c>
      <c r="B46" s="73" t="s">
        <v>144</v>
      </c>
      <c r="C46" s="30">
        <f>'Description classe'!C75</f>
        <v>2</v>
      </c>
      <c r="D46" s="48">
        <v>0</v>
      </c>
      <c r="E46" s="68">
        <f>TRUNC(D46/C46)</f>
        <v>0</v>
      </c>
      <c r="F46" s="30" t="str">
        <f>BASE!F14</f>
        <v>0</v>
      </c>
      <c r="G46" s="140">
        <v>0</v>
      </c>
      <c r="H46" s="74">
        <v>0</v>
      </c>
      <c r="I46" s="68">
        <f>E46+F46+G46+H46</f>
        <v>0</v>
      </c>
      <c r="J46" s="3"/>
    </row>
    <row r="47" spans="1:10" ht="12.75">
      <c r="A47" s="112" t="s">
        <v>6</v>
      </c>
      <c r="B47" s="100" t="s">
        <v>145</v>
      </c>
      <c r="C47" s="11">
        <f>'Description classe'!C76</f>
        <v>2</v>
      </c>
      <c r="D47" s="49">
        <v>0</v>
      </c>
      <c r="E47" s="69">
        <f>TRUNC(D47/C47)</f>
        <v>0</v>
      </c>
      <c r="F47" s="11" t="str">
        <f>BASE!F13</f>
        <v>0</v>
      </c>
      <c r="G47" s="7">
        <v>0</v>
      </c>
      <c r="H47" s="47">
        <v>0</v>
      </c>
      <c r="I47" s="69">
        <f>E47+F47+G47+H47</f>
        <v>0</v>
      </c>
      <c r="J47" s="3"/>
    </row>
    <row r="48" spans="1:10" ht="12.75">
      <c r="A48" s="112" t="s">
        <v>7</v>
      </c>
      <c r="B48" s="100" t="s">
        <v>146</v>
      </c>
      <c r="C48" s="11">
        <f>'Description classe'!C77</f>
        <v>2</v>
      </c>
      <c r="D48" s="49">
        <v>0</v>
      </c>
      <c r="E48" s="69">
        <f>TRUNC(D48/C48)</f>
        <v>0</v>
      </c>
      <c r="F48" s="11" t="str">
        <f>BASE!F14</f>
        <v>0</v>
      </c>
      <c r="G48" s="7">
        <v>0</v>
      </c>
      <c r="H48" s="47">
        <v>0</v>
      </c>
      <c r="I48" s="69">
        <f>E48+F48+G48+H48</f>
        <v>0</v>
      </c>
      <c r="J48" s="3"/>
    </row>
    <row r="49" spans="1:10" ht="13.5" thickBot="1">
      <c r="A49" s="93" t="s">
        <v>7</v>
      </c>
      <c r="B49" s="79" t="s">
        <v>147</v>
      </c>
      <c r="C49" s="12">
        <f>'Description classe'!C78</f>
        <v>2</v>
      </c>
      <c r="D49" s="50">
        <v>0</v>
      </c>
      <c r="E49" s="59">
        <f>TRUNC(D49/C49)</f>
        <v>0</v>
      </c>
      <c r="F49" s="12" t="str">
        <f>BASE!F14</f>
        <v>0</v>
      </c>
      <c r="G49" s="6">
        <v>0</v>
      </c>
      <c r="H49" s="75">
        <v>0</v>
      </c>
      <c r="I49" s="59">
        <f>E49+F49+G49+H49</f>
        <v>0</v>
      </c>
      <c r="J49" s="3"/>
    </row>
    <row r="50" spans="1:10" ht="13.5" thickBot="1">
      <c r="A50" s="1"/>
      <c r="B50" s="2"/>
      <c r="C50" s="14" t="s">
        <v>190</v>
      </c>
      <c r="D50" s="41">
        <f>SUM(D46:D49)</f>
        <v>0</v>
      </c>
      <c r="E50" s="2"/>
      <c r="F50" s="2"/>
      <c r="G50" s="2"/>
      <c r="H50" s="2"/>
      <c r="I50" s="2"/>
      <c r="J50" s="3"/>
    </row>
    <row r="51" spans="1:10" ht="13.5" thickBot="1">
      <c r="A51" s="1"/>
      <c r="B51" s="2"/>
      <c r="C51" s="2"/>
      <c r="D51" s="2"/>
      <c r="E51" s="2"/>
      <c r="F51" s="2"/>
      <c r="G51" s="2"/>
      <c r="H51" s="2"/>
      <c r="I51" s="2"/>
      <c r="J51" s="3"/>
    </row>
    <row r="52" spans="1:10" ht="13.5" thickBot="1">
      <c r="A52" s="1"/>
      <c r="B52" s="292" t="s">
        <v>148</v>
      </c>
      <c r="C52" s="293"/>
      <c r="D52" s="293"/>
      <c r="E52" s="293"/>
      <c r="F52" s="294"/>
      <c r="G52" s="39"/>
      <c r="H52" s="39"/>
      <c r="I52" s="2"/>
      <c r="J52" s="3"/>
    </row>
    <row r="53" spans="1:10" ht="13.5" thickBot="1">
      <c r="A53" s="1"/>
      <c r="B53" s="292" t="s">
        <v>191</v>
      </c>
      <c r="C53" s="293"/>
      <c r="D53" s="294"/>
      <c r="E53" s="14" t="s">
        <v>192</v>
      </c>
      <c r="F53" s="14" t="s">
        <v>132</v>
      </c>
      <c r="G53" s="118"/>
      <c r="H53" s="118"/>
      <c r="I53" s="2"/>
      <c r="J53" s="3"/>
    </row>
    <row r="54" spans="1:10" ht="13.5" thickBot="1">
      <c r="A54" s="1"/>
      <c r="B54" s="292" t="s">
        <v>193</v>
      </c>
      <c r="C54" s="293"/>
      <c r="D54" s="294"/>
      <c r="E54" s="141">
        <v>0</v>
      </c>
      <c r="F54" s="68">
        <f>E54*75</f>
        <v>0</v>
      </c>
      <c r="G54" s="2"/>
      <c r="H54" s="47"/>
      <c r="I54" s="2"/>
      <c r="J54" s="3"/>
    </row>
    <row r="55" spans="1:10" ht="13.5" thickBot="1">
      <c r="A55" s="1"/>
      <c r="B55" s="292" t="s">
        <v>194</v>
      </c>
      <c r="C55" s="293"/>
      <c r="D55" s="294"/>
      <c r="E55" s="142">
        <v>0</v>
      </c>
      <c r="F55" s="59">
        <f>E55*75</f>
        <v>0</v>
      </c>
      <c r="G55" s="2"/>
      <c r="H55" s="47"/>
      <c r="I55" s="2"/>
      <c r="J55" s="3"/>
    </row>
    <row r="56" spans="1:10" ht="13.5" thickBot="1">
      <c r="A56" s="1"/>
      <c r="B56" s="2"/>
      <c r="C56" s="2"/>
      <c r="D56" s="2"/>
      <c r="E56" s="111" t="s">
        <v>9</v>
      </c>
      <c r="F56" s="59">
        <f>SUM(F54:F55)</f>
        <v>0</v>
      </c>
      <c r="G56" s="2"/>
      <c r="H56" s="2"/>
      <c r="I56" s="2"/>
      <c r="J56" s="3"/>
    </row>
    <row r="57" spans="1:10" ht="13.5" thickBot="1">
      <c r="A57" s="107"/>
      <c r="B57" s="292" t="s">
        <v>153</v>
      </c>
      <c r="C57" s="294"/>
      <c r="D57" s="120">
        <f>B20+B14+B24+D50</f>
        <v>0</v>
      </c>
      <c r="E57" s="4"/>
      <c r="F57" s="4"/>
      <c r="G57" s="4"/>
      <c r="H57" s="4"/>
      <c r="I57" s="4"/>
      <c r="J57" s="5"/>
    </row>
  </sheetData>
  <sheetProtection/>
  <mergeCells count="21">
    <mergeCell ref="D39:E39"/>
    <mergeCell ref="B42:C42"/>
    <mergeCell ref="B44:H44"/>
    <mergeCell ref="B52:F52"/>
    <mergeCell ref="B53:D53"/>
    <mergeCell ref="B54:D54"/>
    <mergeCell ref="B55:D55"/>
    <mergeCell ref="B57:C57"/>
    <mergeCell ref="B22:H22"/>
    <mergeCell ref="B25:H25"/>
    <mergeCell ref="B26:D26"/>
    <mergeCell ref="F26:G26"/>
    <mergeCell ref="B27:C27"/>
    <mergeCell ref="E27:F27"/>
    <mergeCell ref="B29:H29"/>
    <mergeCell ref="B31:C31"/>
    <mergeCell ref="A10:J10"/>
    <mergeCell ref="B12:H12"/>
    <mergeCell ref="B16:C16"/>
    <mergeCell ref="B18:H18"/>
    <mergeCell ref="F16:G16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0:J28"/>
  <sheetViews>
    <sheetView zoomScalePageLayoutView="0" workbookViewId="0" topLeftCell="A6">
      <selection activeCell="D13" sqref="D13"/>
    </sheetView>
  </sheetViews>
  <sheetFormatPr defaultColWidth="11.421875" defaultRowHeight="12.75"/>
  <cols>
    <col min="2" max="2" width="10.57421875" style="0" bestFit="1" customWidth="1"/>
    <col min="4" max="5" width="12.00390625" style="0" bestFit="1" customWidth="1"/>
    <col min="6" max="6" width="10.7109375" style="0" bestFit="1" customWidth="1"/>
    <col min="7" max="8" width="10.28125" style="0" bestFit="1" customWidth="1"/>
    <col min="9" max="9" width="11.00390625" style="0" bestFit="1" customWidth="1"/>
    <col min="10" max="10" width="10.8515625" style="0" bestFit="1" customWidth="1"/>
  </cols>
  <sheetData>
    <row r="9" ht="13.5" thickBot="1"/>
    <row r="10" spans="1:10" ht="13.5" thickBot="1">
      <c r="A10" s="292" t="s">
        <v>112</v>
      </c>
      <c r="B10" s="293"/>
      <c r="C10" s="293"/>
      <c r="D10" s="293"/>
      <c r="E10" s="293"/>
      <c r="F10" s="293"/>
      <c r="G10" s="293"/>
      <c r="H10" s="293"/>
      <c r="I10" s="293"/>
      <c r="J10" s="294"/>
    </row>
    <row r="11" spans="1:10" ht="13.5" thickBot="1">
      <c r="A11" s="105"/>
      <c r="B11" s="106"/>
      <c r="C11" s="106"/>
      <c r="D11" s="106"/>
      <c r="E11" s="106"/>
      <c r="F11" s="106"/>
      <c r="G11" s="106"/>
      <c r="H11" s="106"/>
      <c r="I11" s="106"/>
      <c r="J11" s="65"/>
    </row>
    <row r="12" spans="1:10" ht="13.5" thickBot="1">
      <c r="A12" s="1"/>
      <c r="B12" s="297" t="s">
        <v>113</v>
      </c>
      <c r="C12" s="296"/>
      <c r="D12" s="2"/>
      <c r="E12" s="292" t="s">
        <v>115</v>
      </c>
      <c r="F12" s="293"/>
      <c r="G12" s="293"/>
      <c r="H12" s="293"/>
      <c r="I12" s="294"/>
      <c r="J12" s="109"/>
    </row>
    <row r="13" spans="1:10" ht="13.5" thickBot="1">
      <c r="A13" s="1"/>
      <c r="B13" s="192" t="s">
        <v>32</v>
      </c>
      <c r="C13" s="66" t="str">
        <f>talentpsy(BASE!E13)</f>
        <v>30</v>
      </c>
      <c r="D13" s="2"/>
      <c r="E13" s="14" t="s">
        <v>37</v>
      </c>
      <c r="F13" s="14" t="s">
        <v>132</v>
      </c>
      <c r="G13" s="14" t="s">
        <v>32</v>
      </c>
      <c r="H13" s="14" t="s">
        <v>43</v>
      </c>
      <c r="I13" s="14" t="s">
        <v>9</v>
      </c>
      <c r="J13" s="109"/>
    </row>
    <row r="14" spans="1:10" ht="13.5" thickBot="1">
      <c r="A14" s="1"/>
      <c r="B14" s="193" t="s">
        <v>115</v>
      </c>
      <c r="C14" s="94">
        <v>0</v>
      </c>
      <c r="D14" s="2"/>
      <c r="E14" s="108">
        <v>0</v>
      </c>
      <c r="F14" s="41">
        <f>'Description classe'!C81</f>
        <v>20</v>
      </c>
      <c r="G14" s="41">
        <f>TRUNC(E14/F14)</f>
        <v>0</v>
      </c>
      <c r="H14" s="41">
        <f>1+TRUNC(BASE!E2/'Description classe'!C60)</f>
        <v>1</v>
      </c>
      <c r="I14" s="61">
        <f>SUM(G14:H14)</f>
        <v>1</v>
      </c>
      <c r="J14" s="77"/>
    </row>
    <row r="15" spans="1:10" ht="13.5" thickBot="1">
      <c r="A15" s="1"/>
      <c r="B15" s="14" t="s">
        <v>9</v>
      </c>
      <c r="C15" s="61">
        <f>Bonustalentpsy(C14)+C13</f>
        <v>30</v>
      </c>
      <c r="D15" s="2"/>
      <c r="E15" s="2"/>
      <c r="F15" s="2"/>
      <c r="G15" s="2"/>
      <c r="H15" s="2"/>
      <c r="I15" s="14" t="s">
        <v>248</v>
      </c>
      <c r="J15" s="3"/>
    </row>
    <row r="16" spans="1:10" ht="13.5" thickBot="1">
      <c r="A16" s="1"/>
      <c r="B16" s="188" t="s">
        <v>114</v>
      </c>
      <c r="C16" s="59">
        <f>TRUNC(C15/10)</f>
        <v>3</v>
      </c>
      <c r="D16" s="2"/>
      <c r="E16" s="2"/>
      <c r="F16" s="2"/>
      <c r="G16" s="2"/>
      <c r="H16" s="2"/>
      <c r="I16" s="61">
        <f>SUM(C23:J23)+D26+C14+H26</f>
        <v>0</v>
      </c>
      <c r="J16" s="3"/>
    </row>
    <row r="17" spans="1:10" ht="13.5" thickBot="1">
      <c r="A17" s="1"/>
      <c r="B17" s="302" t="s">
        <v>116</v>
      </c>
      <c r="C17" s="303"/>
      <c r="D17" s="293"/>
      <c r="E17" s="293"/>
      <c r="F17" s="293"/>
      <c r="G17" s="294"/>
      <c r="H17" s="2"/>
      <c r="I17" s="14" t="s">
        <v>247</v>
      </c>
      <c r="J17" s="3"/>
    </row>
    <row r="18" spans="1:10" ht="13.5" thickBot="1">
      <c r="A18" s="1"/>
      <c r="B18" s="14" t="s">
        <v>37</v>
      </c>
      <c r="C18" s="13" t="s">
        <v>132</v>
      </c>
      <c r="D18" s="13" t="s">
        <v>32</v>
      </c>
      <c r="E18" s="13" t="s">
        <v>117</v>
      </c>
      <c r="F18" s="13" t="s">
        <v>43</v>
      </c>
      <c r="G18" s="13" t="s">
        <v>9</v>
      </c>
      <c r="H18" s="2"/>
      <c r="I18" s="61">
        <f>I14-I16</f>
        <v>1</v>
      </c>
      <c r="J18" s="3"/>
    </row>
    <row r="19" spans="1:10" ht="13.5" thickBot="1">
      <c r="A19" s="1"/>
      <c r="B19" s="110">
        <v>0</v>
      </c>
      <c r="C19" s="12">
        <f>'Description classe'!C82</f>
        <v>2</v>
      </c>
      <c r="D19" s="12">
        <f>TRUNC(B19/C19)</f>
        <v>0</v>
      </c>
      <c r="E19" s="12" t="str">
        <f>BASE!F8</f>
        <v>0</v>
      </c>
      <c r="F19" s="6">
        <v>0</v>
      </c>
      <c r="G19" s="12">
        <f>D19+E19+F19</f>
        <v>0</v>
      </c>
      <c r="H19" s="2"/>
      <c r="I19" s="2"/>
      <c r="J19" s="3"/>
    </row>
    <row r="20" spans="1:10" ht="12.75">
      <c r="A20" s="1"/>
      <c r="B20" s="2"/>
      <c r="C20" s="2"/>
      <c r="D20" s="2"/>
      <c r="E20" s="2"/>
      <c r="F20" s="2"/>
      <c r="G20" s="2"/>
      <c r="H20" s="37"/>
      <c r="I20" s="37"/>
      <c r="J20" s="3"/>
    </row>
    <row r="21" spans="1:10" ht="13.5" thickBot="1">
      <c r="A21" s="1"/>
      <c r="B21" s="2"/>
      <c r="C21" s="2"/>
      <c r="D21" s="2"/>
      <c r="E21" s="2"/>
      <c r="F21" s="2"/>
      <c r="G21" s="2"/>
      <c r="H21" s="37"/>
      <c r="I21" s="37"/>
      <c r="J21" s="3"/>
    </row>
    <row r="22" spans="1:10" ht="13.5" thickBot="1">
      <c r="A22" s="292" t="s">
        <v>240</v>
      </c>
      <c r="B22" s="294"/>
      <c r="C22" s="14" t="s">
        <v>241</v>
      </c>
      <c r="D22" s="13" t="s">
        <v>242</v>
      </c>
      <c r="E22" s="13" t="s">
        <v>243</v>
      </c>
      <c r="F22" s="14" t="s">
        <v>245</v>
      </c>
      <c r="G22" s="14" t="s">
        <v>249</v>
      </c>
      <c r="H22" s="14" t="s">
        <v>250</v>
      </c>
      <c r="I22" s="13" t="s">
        <v>251</v>
      </c>
      <c r="J22" s="13" t="s">
        <v>260</v>
      </c>
    </row>
    <row r="23" spans="1:10" ht="13.5" thickBot="1">
      <c r="A23" s="292" t="s">
        <v>246</v>
      </c>
      <c r="B23" s="294"/>
      <c r="C23" s="108">
        <v>0</v>
      </c>
      <c r="D23" s="121">
        <v>0</v>
      </c>
      <c r="E23" s="121">
        <v>0</v>
      </c>
      <c r="F23" s="108">
        <v>0</v>
      </c>
      <c r="G23" s="108">
        <v>0</v>
      </c>
      <c r="H23" s="110">
        <v>0</v>
      </c>
      <c r="I23" s="28">
        <v>0</v>
      </c>
      <c r="J23" s="28">
        <v>0</v>
      </c>
    </row>
    <row r="24" spans="1:10" ht="13.5" thickBot="1">
      <c r="A24" s="302" t="s">
        <v>244</v>
      </c>
      <c r="B24" s="304"/>
      <c r="C24" s="5"/>
      <c r="D24" s="5"/>
      <c r="E24" s="5"/>
      <c r="F24" s="43"/>
      <c r="G24" s="113"/>
      <c r="H24" s="153"/>
      <c r="I24" s="153"/>
      <c r="J24" s="44"/>
    </row>
    <row r="25" spans="1:10" ht="13.5" thickBot="1">
      <c r="A25" s="1"/>
      <c r="B25" s="2"/>
      <c r="C25" s="78" t="s">
        <v>429</v>
      </c>
      <c r="D25" s="14" t="s">
        <v>115</v>
      </c>
      <c r="E25" s="292" t="s">
        <v>430</v>
      </c>
      <c r="F25" s="294"/>
      <c r="G25" s="2"/>
      <c r="H25" s="14" t="s">
        <v>431</v>
      </c>
      <c r="I25" s="37"/>
      <c r="J25" s="3"/>
    </row>
    <row r="26" spans="1:10" ht="13.5" thickBot="1">
      <c r="A26" s="292" t="s">
        <v>428</v>
      </c>
      <c r="B26" s="294"/>
      <c r="C26" s="111">
        <v>2</v>
      </c>
      <c r="D26" s="121">
        <v>0</v>
      </c>
      <c r="E26" s="313">
        <f>TRUNC(D26/C26)</f>
        <v>0</v>
      </c>
      <c r="F26" s="314"/>
      <c r="G26" s="2"/>
      <c r="H26" s="108">
        <v>0</v>
      </c>
      <c r="I26" s="2"/>
      <c r="J26" s="3"/>
    </row>
    <row r="27" spans="1:10" ht="13.5" thickBot="1">
      <c r="A27" s="1"/>
      <c r="B27" s="2"/>
      <c r="C27" s="2"/>
      <c r="D27" s="2"/>
      <c r="E27" s="2"/>
      <c r="F27" s="2"/>
      <c r="G27" s="2"/>
      <c r="H27" s="2"/>
      <c r="I27" s="2"/>
      <c r="J27" s="3"/>
    </row>
    <row r="28" spans="1:10" ht="13.5" thickBot="1">
      <c r="A28" s="107"/>
      <c r="B28" s="4"/>
      <c r="C28" s="14" t="s">
        <v>118</v>
      </c>
      <c r="D28" s="61">
        <f>B19+E14</f>
        <v>0</v>
      </c>
      <c r="E28" s="4"/>
      <c r="F28" s="4"/>
      <c r="G28" s="4"/>
      <c r="H28" s="4"/>
      <c r="I28" s="4"/>
      <c r="J28" s="5"/>
    </row>
  </sheetData>
  <sheetProtection/>
  <mergeCells count="10">
    <mergeCell ref="A26:B26"/>
    <mergeCell ref="E25:F25"/>
    <mergeCell ref="E26:F26"/>
    <mergeCell ref="A23:B23"/>
    <mergeCell ref="A24:B24"/>
    <mergeCell ref="A22:B22"/>
    <mergeCell ref="A10:J10"/>
    <mergeCell ref="B12:C12"/>
    <mergeCell ref="E12:I12"/>
    <mergeCell ref="B17:G17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"/>
  <dimension ref="A6:N67"/>
  <sheetViews>
    <sheetView zoomScalePageLayoutView="0" workbookViewId="0" topLeftCell="A56">
      <selection activeCell="G63" sqref="G63"/>
    </sheetView>
  </sheetViews>
  <sheetFormatPr defaultColWidth="11.421875" defaultRowHeight="12.75"/>
  <cols>
    <col min="3" max="3" width="5.57421875" style="0" bestFit="1" customWidth="1"/>
    <col min="4" max="4" width="4.00390625" style="0" bestFit="1" customWidth="1"/>
    <col min="5" max="5" width="6.00390625" style="0" bestFit="1" customWidth="1"/>
    <col min="6" max="6" width="4.140625" style="0" bestFit="1" customWidth="1"/>
    <col min="7" max="7" width="8.28125" style="0" bestFit="1" customWidth="1"/>
    <col min="8" max="8" width="6.57421875" style="0" bestFit="1" customWidth="1"/>
    <col min="9" max="9" width="4.140625" style="0" bestFit="1" customWidth="1"/>
    <col min="10" max="10" width="6.00390625" style="0" bestFit="1" customWidth="1"/>
    <col min="11" max="11" width="15.8515625" style="156" bestFit="1" customWidth="1"/>
    <col min="12" max="12" width="12.140625" style="156" bestFit="1" customWidth="1"/>
    <col min="13" max="13" width="9.8515625" style="0" bestFit="1" customWidth="1"/>
  </cols>
  <sheetData>
    <row r="5" ht="13.5" thickBot="1"/>
    <row r="6" spans="5:7" ht="13.5" thickBot="1">
      <c r="E6" s="297" t="s">
        <v>258</v>
      </c>
      <c r="F6" s="296"/>
      <c r="G6" s="30">
        <f>BASE!E2*Avantage!B60</f>
        <v>1</v>
      </c>
    </row>
    <row r="7" spans="5:12" ht="13.5" thickBot="1">
      <c r="E7" s="297" t="s">
        <v>259</v>
      </c>
      <c r="F7" s="296"/>
      <c r="G7" s="30">
        <f>SUM(G12:G17)+SUM(G20:G22)+SUM(G25:G27)+SUM(G30:G40)+SUM(G44:G49)+SUM(G52:G58)+SUM(G61:G65)</f>
        <v>0</v>
      </c>
      <c r="K7" s="292" t="s">
        <v>413</v>
      </c>
      <c r="L7" s="294"/>
    </row>
    <row r="8" spans="5:12" ht="13.5" thickBot="1">
      <c r="E8" s="292" t="s">
        <v>16</v>
      </c>
      <c r="F8" s="294"/>
      <c r="G8" s="41">
        <f>G6-G7</f>
        <v>1</v>
      </c>
      <c r="J8" s="14" t="s">
        <v>16</v>
      </c>
      <c r="K8" s="315">
        <f>IF((Avantage!B46+Avantage!B47+Avantage!B48)&gt;0,1-K66,0-K66)</f>
        <v>0</v>
      </c>
      <c r="L8" s="314"/>
    </row>
    <row r="9" spans="11:12" ht="13.5" thickBot="1">
      <c r="K9" s="14" t="s">
        <v>443</v>
      </c>
      <c r="L9" s="61">
        <f>Avantage!B52-L10-L19-L24-L29-L43-L51-L60</f>
        <v>0</v>
      </c>
    </row>
    <row r="10" spans="1:14" ht="13.5" thickBot="1">
      <c r="A10" s="292" t="s">
        <v>47</v>
      </c>
      <c r="B10" s="293"/>
      <c r="C10" s="293"/>
      <c r="D10" s="293"/>
      <c r="E10" s="293"/>
      <c r="F10" s="293"/>
      <c r="G10" s="293"/>
      <c r="H10" s="293"/>
      <c r="I10" s="293"/>
      <c r="J10" s="294"/>
      <c r="K10" s="14" t="s">
        <v>442</v>
      </c>
      <c r="L10" s="230">
        <v>0</v>
      </c>
      <c r="M10" s="14" t="s">
        <v>234</v>
      </c>
      <c r="N10" s="34" t="s">
        <v>445</v>
      </c>
    </row>
    <row r="11" spans="1:14" ht="13.5" thickBot="1">
      <c r="A11" s="14" t="s">
        <v>19</v>
      </c>
      <c r="B11" s="13" t="s">
        <v>120</v>
      </c>
      <c r="C11" s="13" t="s">
        <v>121</v>
      </c>
      <c r="D11" s="13" t="s">
        <v>37</v>
      </c>
      <c r="E11" s="13" t="s">
        <v>18</v>
      </c>
      <c r="F11" s="13" t="s">
        <v>19</v>
      </c>
      <c r="G11" s="13" t="s">
        <v>257</v>
      </c>
      <c r="H11" s="13" t="s">
        <v>20</v>
      </c>
      <c r="I11" s="13" t="s">
        <v>21</v>
      </c>
      <c r="J11" s="13" t="s">
        <v>22</v>
      </c>
      <c r="K11" s="14" t="s">
        <v>414</v>
      </c>
      <c r="M11" s="14" t="s">
        <v>444</v>
      </c>
      <c r="N11" s="108">
        <v>0</v>
      </c>
    </row>
    <row r="12" spans="1:13" ht="12.75">
      <c r="A12" s="144" t="s">
        <v>1</v>
      </c>
      <c r="B12" s="90" t="s">
        <v>23</v>
      </c>
      <c r="C12" s="11">
        <f>IF(('Description classe'!C11-K12*Avantage!$B$46-$L$10)&lt;1,1,('Description classe'!C11-K12*Avantage!$B$46-$L$10))</f>
        <v>2</v>
      </c>
      <c r="D12" s="27">
        <v>0</v>
      </c>
      <c r="E12" s="29">
        <f aca="true" t="shared" si="0" ref="E12:E17">TRUNC(D12/C12)</f>
        <v>0</v>
      </c>
      <c r="F12" s="11" t="str">
        <f>BASE!F7</f>
        <v>0</v>
      </c>
      <c r="G12" s="27">
        <v>0</v>
      </c>
      <c r="H12" s="11">
        <f>('Description classe'!D11+$N$11*Avantage!$B$56)*BASE!$E$2</f>
        <v>0</v>
      </c>
      <c r="I12" s="69">
        <f>IF(G12&gt;0,F12*G12,0)+IF(AND(Avantage!B50=1,D12&gt;0),10,0)+IF(AND(Avantage!$B$54&gt;0,M12=1),Avantage!$B$54*10*BASE!$E$2,0)</f>
        <v>0</v>
      </c>
      <c r="J12" s="11">
        <f>IF(Avantage!$B$50=0,maluspasdebase(E12),E12)+F12+H12+I12</f>
        <v>-30</v>
      </c>
      <c r="K12" s="196">
        <v>0</v>
      </c>
      <c r="M12" s="196">
        <v>0</v>
      </c>
    </row>
    <row r="13" spans="1:13" ht="12.75">
      <c r="A13" s="144" t="s">
        <v>1</v>
      </c>
      <c r="B13" s="90" t="s">
        <v>24</v>
      </c>
      <c r="C13" s="11">
        <f>IF(('Description classe'!C12-K13*Avantage!$B$46-$L$10)&lt;1,1,('Description classe'!C12-K13*Avantage!$B$46-$L$10))</f>
        <v>2</v>
      </c>
      <c r="D13" s="27">
        <v>0</v>
      </c>
      <c r="E13" s="29">
        <f t="shared" si="0"/>
        <v>0</v>
      </c>
      <c r="F13" s="11" t="str">
        <f>BASE!F7</f>
        <v>0</v>
      </c>
      <c r="G13" s="27">
        <v>0</v>
      </c>
      <c r="H13" s="11">
        <f>('Description classe'!D12+$N$11*Avantage!$B$56)*BASE!$E$2</f>
        <v>0</v>
      </c>
      <c r="I13" s="69">
        <f>IF(G13&gt;0,F13*G13,0)+IF(AND(Avantage!B51=1,D13&gt;0),10,0)+IF(AND(Avantage!$B$54&gt;0,M13=1),Avantage!$B$54*10*BASE!$E$2,0)</f>
        <v>0</v>
      </c>
      <c r="J13" s="11">
        <f>IF(Avantage!$B$50=0,maluspasdebase(E13),E13)+F13+H13+I13</f>
        <v>-30</v>
      </c>
      <c r="K13" s="197">
        <v>0</v>
      </c>
      <c r="M13" s="197">
        <v>0</v>
      </c>
    </row>
    <row r="14" spans="1:13" ht="12.75">
      <c r="A14" s="144" t="s">
        <v>1</v>
      </c>
      <c r="B14" s="90" t="s">
        <v>122</v>
      </c>
      <c r="C14" s="11">
        <f>IF(('Description classe'!C13-K14*Avantage!$B$46-$L$10)&lt;1,1,('Description classe'!C13-K14*Avantage!$B$46-$L$10))</f>
        <v>2</v>
      </c>
      <c r="D14" s="27">
        <v>0</v>
      </c>
      <c r="E14" s="29">
        <f t="shared" si="0"/>
        <v>0</v>
      </c>
      <c r="F14" s="11" t="str">
        <f>BASE!F7</f>
        <v>0</v>
      </c>
      <c r="G14" s="27">
        <v>0</v>
      </c>
      <c r="H14" s="11">
        <f>('Description classe'!D13+$N$11*Avantage!$B$56)*BASE!$E$2</f>
        <v>0</v>
      </c>
      <c r="I14" s="69">
        <f>IF(G14&gt;0,F14*G14,0)+IF(AND(Avantage!B52=1,D14&gt;0),10,0)+IF(AND(Avantage!$B$54&gt;0,M14=1),Avantage!$B$54*10*BASE!$E$2,0)</f>
        <v>0</v>
      </c>
      <c r="J14" s="11">
        <f>IF(Avantage!$B$50=0,maluspasdebase(E14),E14)+F14+H14+I14</f>
        <v>-30</v>
      </c>
      <c r="K14" s="197">
        <v>0</v>
      </c>
      <c r="M14" s="197">
        <v>0</v>
      </c>
    </row>
    <row r="15" spans="1:13" ht="12.75">
      <c r="A15" s="144" t="s">
        <v>1</v>
      </c>
      <c r="B15" s="90" t="s">
        <v>25</v>
      </c>
      <c r="C15" s="11">
        <f>IF(('Description classe'!C14-K15*Avantage!$B$46-$L$10)&lt;1,1,('Description classe'!C14-K15*Avantage!$B$46-$L$10))</f>
        <v>2</v>
      </c>
      <c r="D15" s="27">
        <v>0</v>
      </c>
      <c r="E15" s="29">
        <f t="shared" si="0"/>
        <v>0</v>
      </c>
      <c r="F15" s="11" t="str">
        <f>BASE!F7</f>
        <v>0</v>
      </c>
      <c r="G15" s="27">
        <v>0</v>
      </c>
      <c r="H15" s="11">
        <f>('Description classe'!D14+$N$11*Avantage!$B$56)*BASE!$E$2</f>
        <v>0</v>
      </c>
      <c r="I15" s="69">
        <f>IF(G15&gt;0,F15*G15,0)+IF(AND(Avantage!B53=1,D15&gt;0),10,0)+IF(AND(Avantage!$B$54&gt;0,M15=1),Avantage!$B$54*10*BASE!$E$2,0)</f>
        <v>0</v>
      </c>
      <c r="J15" s="11">
        <f>IF(Avantage!$B$50=0,maluspasdebase(E15),E15)+F15+H15+I15</f>
        <v>-30</v>
      </c>
      <c r="K15" s="197">
        <v>0</v>
      </c>
      <c r="M15" s="197">
        <v>0</v>
      </c>
    </row>
    <row r="16" spans="1:13" ht="12.75">
      <c r="A16" s="144" t="s">
        <v>1</v>
      </c>
      <c r="B16" s="90" t="s">
        <v>36</v>
      </c>
      <c r="C16" s="11">
        <f>IF(('Description classe'!C15-K16*Avantage!$B$46-$L$10)&lt;1,1,('Description classe'!C15-K16*Avantage!$B$46-$L$10))</f>
        <v>2</v>
      </c>
      <c r="D16" s="27">
        <v>0</v>
      </c>
      <c r="E16" s="29">
        <f t="shared" si="0"/>
        <v>0</v>
      </c>
      <c r="F16" s="11" t="str">
        <f>BASE!F7</f>
        <v>0</v>
      </c>
      <c r="G16" s="27">
        <v>0</v>
      </c>
      <c r="H16" s="11">
        <f>('Description classe'!D15+$N$11*Avantage!$B$56)*BASE!$E$2</f>
        <v>0</v>
      </c>
      <c r="I16" s="69">
        <f>IF(G16&gt;0,F16*G16,0)+IF(AND(Avantage!B54=1,D16&gt;0),10,0)+IF(AND(Avantage!$B$54&gt;0,M16=1),Avantage!$B$54*10*BASE!$E$2,0)</f>
        <v>0</v>
      </c>
      <c r="J16" s="11">
        <f>IF(Avantage!$B$50=0,maluspasdebase(E16),E16)+F16+H16+I16</f>
        <v>-30</v>
      </c>
      <c r="K16" s="197">
        <v>0</v>
      </c>
      <c r="M16" s="197">
        <v>0</v>
      </c>
    </row>
    <row r="17" spans="1:13" ht="13.5" thickBot="1">
      <c r="A17" s="145" t="s">
        <v>0</v>
      </c>
      <c r="B17" s="91" t="s">
        <v>26</v>
      </c>
      <c r="C17" s="11">
        <f>IF(('Description classe'!C16-K17*Avantage!$B$46-$L$10)&lt;1,1,('Description classe'!C16-K17*Avantage!$B$46-$L$10))</f>
        <v>2</v>
      </c>
      <c r="D17" s="28">
        <v>0</v>
      </c>
      <c r="E17" s="29">
        <f t="shared" si="0"/>
        <v>0</v>
      </c>
      <c r="F17" s="12" t="str">
        <f>BASE!F9</f>
        <v>0</v>
      </c>
      <c r="G17" s="28">
        <v>0</v>
      </c>
      <c r="H17" s="11">
        <f>('Description classe'!D16+$N$11*Avantage!$B$56)*BASE!$E$2</f>
        <v>0</v>
      </c>
      <c r="I17" s="69">
        <f>IF(G17&gt;0,F17*G17,0)+IF(AND(Avantage!B55=1,D17&gt;0),10,0)+IF(AND(Avantage!$B$54&gt;0,M17=1),Avantage!$B$54*10*BASE!$E$2,0)</f>
        <v>0</v>
      </c>
      <c r="J17" s="11">
        <f>IF(Avantage!$B$50=0,maluspasdebase(E17),E17)+F17+H17+I17</f>
        <v>-30</v>
      </c>
      <c r="K17" s="110">
        <v>0</v>
      </c>
      <c r="M17" s="110">
        <v>0</v>
      </c>
    </row>
    <row r="18" spans="1:14" ht="13.5" thickBot="1">
      <c r="A18" s="292" t="s">
        <v>48</v>
      </c>
      <c r="B18" s="293"/>
      <c r="C18" s="293"/>
      <c r="D18" s="293"/>
      <c r="E18" s="293"/>
      <c r="F18" s="293"/>
      <c r="G18" s="293"/>
      <c r="H18" s="293"/>
      <c r="I18" s="293"/>
      <c r="J18" s="294"/>
      <c r="L18" s="14" t="s">
        <v>446</v>
      </c>
      <c r="N18" s="34" t="s">
        <v>445</v>
      </c>
    </row>
    <row r="19" spans="1:14" ht="13.5" thickBot="1">
      <c r="A19" s="14" t="s">
        <v>19</v>
      </c>
      <c r="B19" s="13" t="s">
        <v>120</v>
      </c>
      <c r="C19" s="14" t="s">
        <v>121</v>
      </c>
      <c r="D19" s="13" t="s">
        <v>37</v>
      </c>
      <c r="E19" s="73" t="s">
        <v>18</v>
      </c>
      <c r="F19" s="13" t="s">
        <v>19</v>
      </c>
      <c r="G19" s="13" t="s">
        <v>257</v>
      </c>
      <c r="H19" s="13" t="s">
        <v>20</v>
      </c>
      <c r="I19" s="13" t="s">
        <v>21</v>
      </c>
      <c r="J19" s="13" t="s">
        <v>22</v>
      </c>
      <c r="K19" s="14" t="s">
        <v>414</v>
      </c>
      <c r="L19" s="108">
        <v>0</v>
      </c>
      <c r="M19" s="14" t="s">
        <v>444</v>
      </c>
      <c r="N19" s="108">
        <v>0</v>
      </c>
    </row>
    <row r="20" spans="1:13" ht="12.75">
      <c r="A20" s="143" t="s">
        <v>5</v>
      </c>
      <c r="B20" s="185" t="s">
        <v>49</v>
      </c>
      <c r="C20" s="68">
        <f>IF(('Description classe'!C17-K20*Avantage!$B$46-$L$19)&lt;1,1,('Description classe'!C17-K20*Avantage!$B$46-$L$19))</f>
        <v>2</v>
      </c>
      <c r="D20" s="48">
        <v>0</v>
      </c>
      <c r="E20" s="51">
        <f>TRUNC(D20/C20)</f>
        <v>0</v>
      </c>
      <c r="F20" s="30" t="str">
        <f>IF(Avantage!B43&gt;0,bonuscarac(BASE!E12+1),BASE!F12)</f>
        <v>0</v>
      </c>
      <c r="G20" s="155">
        <v>0</v>
      </c>
      <c r="H20" s="69">
        <f>('Description classe'!D17+$N$19*Avantage!$B$56)*BASE!$E$2</f>
        <v>0</v>
      </c>
      <c r="I20" s="11">
        <f>IF(G20&gt;0,F20*G20,0)+IF(Avantage!B43,30,0)+IF(AND(Avantage!B50=1,D20&gt;0),10,0)+IF(AND(Avantage!$B$54&gt;0,M20=1),Avantage!$B$54*10*BASE!$E$2,0)</f>
        <v>0</v>
      </c>
      <c r="J20" s="11">
        <f>IF(Avantage!$B$50=0,maluspasdebase(E20),E20)+F20+H20+I20</f>
        <v>-30</v>
      </c>
      <c r="K20" s="196">
        <v>0</v>
      </c>
      <c r="M20" s="196">
        <v>0</v>
      </c>
    </row>
    <row r="21" spans="1:13" ht="12.75">
      <c r="A21" s="144" t="s">
        <v>5</v>
      </c>
      <c r="B21" s="186" t="s">
        <v>50</v>
      </c>
      <c r="C21" s="69">
        <f>IF(('Description classe'!C18-K21*Avantage!$B$46-$L$19)&lt;1,1,('Description classe'!C18-K21*Avantage!$B$46-$L$19))</f>
        <v>2</v>
      </c>
      <c r="D21" s="49">
        <v>0</v>
      </c>
      <c r="E21" s="52">
        <f>TRUNC(D21/C21)</f>
        <v>0</v>
      </c>
      <c r="F21" s="11" t="str">
        <f>BASE!F12</f>
        <v>0</v>
      </c>
      <c r="G21" s="27">
        <v>0</v>
      </c>
      <c r="H21" s="69">
        <f>('Description classe'!D18+$N$19*Avantage!$B$56)*BASE!$E$2</f>
        <v>0</v>
      </c>
      <c r="I21" s="11">
        <f>IF(G21&gt;0,F21*G21,0)+IF(AND(Avantage!B50=1,D21&gt;0),10,0)++IF(AND(Avantage!$B$54&gt;0,M21=1),Avantage!$B$54*10*BASE!$E$2,0)</f>
        <v>0</v>
      </c>
      <c r="J21" s="11">
        <f>IF(Avantage!$B$50=0,maluspasdebase(E21),E21)+F21+H21+I21</f>
        <v>-30</v>
      </c>
      <c r="K21" s="197">
        <v>0</v>
      </c>
      <c r="M21" s="197">
        <v>0</v>
      </c>
    </row>
    <row r="22" spans="1:13" ht="13.5" thickBot="1">
      <c r="A22" s="145" t="s">
        <v>5</v>
      </c>
      <c r="B22" s="187" t="s">
        <v>51</v>
      </c>
      <c r="C22" s="59">
        <f>IF(('Description classe'!C19-K22*Avantage!$B$46-$L$19)&lt;1,1,('Description classe'!C19-K22*Avantage!$B$46-$L$19))</f>
        <v>2</v>
      </c>
      <c r="D22" s="50">
        <v>0</v>
      </c>
      <c r="E22" s="53">
        <f>TRUNC(D22/C22)</f>
        <v>0</v>
      </c>
      <c r="F22" s="11" t="str">
        <f>IF(Avantage!B43&gt;0,bonuscarac(BASE!E12+1),BASE!F12)</f>
        <v>0</v>
      </c>
      <c r="G22" s="27">
        <v>0</v>
      </c>
      <c r="H22" s="69">
        <f>('Description classe'!D19+$N$19*Avantage!$B$56)*BASE!$E$2</f>
        <v>0</v>
      </c>
      <c r="I22" s="11">
        <f>IF(G22&gt;0,F22*G22,0)+IF(Avantage!B43,30,0)+IF(AND(Avantage!B50=1,D22&gt;0),10,0)+IF(AND(Avantage!$B$54&gt;0,M22=1),Avantage!$B$54*10*BASE!$E$2,0)</f>
        <v>0</v>
      </c>
      <c r="J22" s="11">
        <f>IF(Avantage!$B$50=0,maluspasdebase(E22),E22)+F22+H22+I22</f>
        <v>-30</v>
      </c>
      <c r="K22" s="110">
        <v>0</v>
      </c>
      <c r="M22" s="110">
        <v>0</v>
      </c>
    </row>
    <row r="23" spans="1:14" ht="13.5" thickBot="1">
      <c r="A23" s="292" t="s">
        <v>72</v>
      </c>
      <c r="B23" s="293"/>
      <c r="C23" s="303"/>
      <c r="D23" s="293"/>
      <c r="E23" s="293"/>
      <c r="F23" s="293"/>
      <c r="G23" s="293"/>
      <c r="H23" s="293"/>
      <c r="I23" s="293"/>
      <c r="J23" s="294"/>
      <c r="L23" s="14" t="s">
        <v>446</v>
      </c>
      <c r="N23" s="34" t="s">
        <v>445</v>
      </c>
    </row>
    <row r="24" spans="1:14" ht="13.5" thickBot="1">
      <c r="A24" s="14" t="s">
        <v>19</v>
      </c>
      <c r="B24" s="13" t="s">
        <v>120</v>
      </c>
      <c r="C24" s="73" t="s">
        <v>121</v>
      </c>
      <c r="D24" s="13" t="s">
        <v>37</v>
      </c>
      <c r="E24" s="13" t="s">
        <v>18</v>
      </c>
      <c r="F24" s="13" t="s">
        <v>19</v>
      </c>
      <c r="G24" s="13" t="s">
        <v>257</v>
      </c>
      <c r="H24" s="104" t="s">
        <v>20</v>
      </c>
      <c r="I24" s="13" t="s">
        <v>21</v>
      </c>
      <c r="J24" s="14" t="s">
        <v>22</v>
      </c>
      <c r="K24" s="14" t="s">
        <v>414</v>
      </c>
      <c r="L24" s="108">
        <v>0</v>
      </c>
      <c r="M24" s="14" t="s">
        <v>444</v>
      </c>
      <c r="N24" s="108">
        <v>0</v>
      </c>
    </row>
    <row r="25" spans="1:13" ht="12.75">
      <c r="A25" s="143" t="s">
        <v>6</v>
      </c>
      <c r="B25" s="185" t="s">
        <v>123</v>
      </c>
      <c r="C25" s="68">
        <f>IF(('Description classe'!C20-K25*Avantage!$B$46-$L$24)&lt;1,1,('Description classe'!C20-K25*Avantage!$B$46-$L$24))</f>
        <v>2</v>
      </c>
      <c r="D25" s="48">
        <v>0</v>
      </c>
      <c r="E25" s="52">
        <f>TRUNC(D25/C25)</f>
        <v>0</v>
      </c>
      <c r="F25" s="30" t="str">
        <f>BASE!F13</f>
        <v>0</v>
      </c>
      <c r="G25" s="48">
        <v>0</v>
      </c>
      <c r="H25" s="68">
        <f>('Description classe'!D20+$N$24*Avantage!$B$56)*BASE!$E$2</f>
        <v>0</v>
      </c>
      <c r="I25" s="11">
        <f>IF(G25&gt;0,F25*G25,0)+IF(AND(Avantage!B50=1,D25&gt;0),10,0)+IF(AND(Avantage!$B$54&gt;0,M25=1),Avantage!$B$54*10*BASE!$E$2,0)</f>
        <v>0</v>
      </c>
      <c r="J25" s="68">
        <f>IF(Avantage!$B$50=0,maluspasdebase(E25),E25)+F25+H25+I25</f>
        <v>-30</v>
      </c>
      <c r="K25" s="196">
        <v>0</v>
      </c>
      <c r="M25" s="196">
        <v>0</v>
      </c>
    </row>
    <row r="26" spans="1:13" ht="12.75">
      <c r="A26" s="144" t="s">
        <v>0</v>
      </c>
      <c r="B26" s="186" t="s">
        <v>73</v>
      </c>
      <c r="C26" s="69">
        <f>IF(('Description classe'!C21-K26*Avantage!$B$46-$L$24)&lt;1,1,('Description classe'!C21-K26*Avantage!$B$46-$L$24))</f>
        <v>2</v>
      </c>
      <c r="D26" s="49">
        <v>0</v>
      </c>
      <c r="E26" s="52">
        <f>TRUNC(D26/C26)</f>
        <v>0</v>
      </c>
      <c r="F26" s="11" t="str">
        <f>BASE!F9</f>
        <v>0</v>
      </c>
      <c r="G26" s="49">
        <v>0</v>
      </c>
      <c r="H26" s="69">
        <f>('Description classe'!D21+$N$24*Avantage!$B$56)*BASE!$E$2</f>
        <v>0</v>
      </c>
      <c r="I26" s="11">
        <f>IF(G26&gt;0,F26*G26,0)+IF(AND(Avantage!B51=1,D26&gt;0),10,0)+IF(AND(Avantage!$B$54&gt;0,M26=1),Avantage!$B$54*10*BASE!$E$2,0)</f>
        <v>0</v>
      </c>
      <c r="J26" s="69">
        <f>IF(Avantage!$B$50=0,maluspasdebase(E26),E26)+F26+H26+I26</f>
        <v>-30</v>
      </c>
      <c r="K26" s="197">
        <v>0</v>
      </c>
      <c r="M26" s="197">
        <v>0</v>
      </c>
    </row>
    <row r="27" spans="1:13" ht="13.5" thickBot="1">
      <c r="A27" s="145" t="s">
        <v>6</v>
      </c>
      <c r="B27" s="187" t="s">
        <v>74</v>
      </c>
      <c r="C27" s="59">
        <f>IF(('Description classe'!C22-K27*Avantage!$B$46-$L$24)&lt;1,1,('Description classe'!C22-K27*Avantage!$B$46-$L$24))</f>
        <v>2</v>
      </c>
      <c r="D27" s="50">
        <v>0</v>
      </c>
      <c r="E27" s="52">
        <f>TRUNC(D27/C27)</f>
        <v>0</v>
      </c>
      <c r="F27" s="12" t="str">
        <f>BASE!F13</f>
        <v>0</v>
      </c>
      <c r="G27" s="50">
        <v>0</v>
      </c>
      <c r="H27" s="59">
        <f>('Description classe'!D22+$N$24*Avantage!$B$56)*BASE!$E$2</f>
        <v>0</v>
      </c>
      <c r="I27" s="11">
        <f>IF(G27&gt;0,F27*G27,0)+IF(AND(Avantage!B52=1,D27&gt;0),10,0)+IF(AND(Avantage!$B$54&gt;0,M27=1),Avantage!$B$54*10*BASE!$E$2,0)</f>
        <v>0</v>
      </c>
      <c r="J27" s="59">
        <f>IF(Avantage!$B$50=0,maluspasdebase(E27),E27)+F27+H27+I27</f>
        <v>-30</v>
      </c>
      <c r="K27" s="110">
        <v>0</v>
      </c>
      <c r="M27" s="110">
        <v>0</v>
      </c>
    </row>
    <row r="28" spans="1:14" ht="13.5" thickBot="1">
      <c r="A28" s="292" t="s">
        <v>124</v>
      </c>
      <c r="B28" s="293"/>
      <c r="C28" s="293"/>
      <c r="D28" s="293"/>
      <c r="E28" s="293"/>
      <c r="F28" s="293"/>
      <c r="G28" s="293"/>
      <c r="H28" s="303"/>
      <c r="I28" s="293"/>
      <c r="J28" s="294"/>
      <c r="L28" s="14" t="s">
        <v>446</v>
      </c>
      <c r="N28" s="34" t="s">
        <v>445</v>
      </c>
    </row>
    <row r="29" spans="1:14" ht="13.5" thickBot="1">
      <c r="A29" s="104" t="s">
        <v>19</v>
      </c>
      <c r="B29" s="73" t="s">
        <v>120</v>
      </c>
      <c r="C29" s="104" t="s">
        <v>121</v>
      </c>
      <c r="D29" s="73" t="s">
        <v>37</v>
      </c>
      <c r="E29" s="104" t="s">
        <v>18</v>
      </c>
      <c r="F29" s="14" t="s">
        <v>19</v>
      </c>
      <c r="G29" s="73" t="s">
        <v>257</v>
      </c>
      <c r="H29" s="104" t="s">
        <v>20</v>
      </c>
      <c r="I29" s="104" t="s">
        <v>21</v>
      </c>
      <c r="J29" s="14" t="s">
        <v>22</v>
      </c>
      <c r="K29" s="14" t="s">
        <v>414</v>
      </c>
      <c r="L29" s="108">
        <v>0</v>
      </c>
      <c r="M29" s="14" t="s">
        <v>444</v>
      </c>
      <c r="N29" s="108">
        <v>0</v>
      </c>
    </row>
    <row r="30" spans="1:13" ht="12.75">
      <c r="A30" s="57" t="s">
        <v>4</v>
      </c>
      <c r="B30" s="71" t="s">
        <v>75</v>
      </c>
      <c r="C30" s="68">
        <f>IF(('Description classe'!C23-K30*Avantage!$B$46-$L$29)&lt;1,1,('Description classe'!C23-K30*Avantage!$B$46-$L$29))</f>
        <v>2</v>
      </c>
      <c r="D30" s="155">
        <v>0</v>
      </c>
      <c r="E30" s="198">
        <f>TRUNC(D30/C30)</f>
        <v>0</v>
      </c>
      <c r="F30" s="30" t="str">
        <f>BASE!F11</f>
        <v>0</v>
      </c>
      <c r="G30" s="48">
        <v>0</v>
      </c>
      <c r="H30" s="68">
        <f>('Description classe'!D23+$N$29*Avantage!$B$56)*BASE!$E$2</f>
        <v>0</v>
      </c>
      <c r="I30" s="30">
        <f>IF(G30&gt;0,F30*G30,0)+IF(AND(Avantage!B50=1,D30&gt;0),10,0)+IF(AND(Avantage!$B$54&gt;0,M30=1),Avantage!$B$54*10*BASE!$E$2,0)</f>
        <v>0</v>
      </c>
      <c r="J30" s="30">
        <f>IF(Avantage!$B$50=0,maluspasdebase(E30),E30)+F30+H30+I30</f>
        <v>-30</v>
      </c>
      <c r="K30" s="196">
        <v>0</v>
      </c>
      <c r="M30" s="196">
        <v>0</v>
      </c>
    </row>
    <row r="31" spans="1:13" ht="12.75">
      <c r="A31" s="22" t="s">
        <v>4</v>
      </c>
      <c r="B31" s="70" t="s">
        <v>76</v>
      </c>
      <c r="C31" s="69">
        <f>IF(('Description classe'!C24-K31*Avantage!$B$46-$L$29)&lt;1,1,('Description classe'!C24-K31*Avantage!$B$46-$L$29))</f>
        <v>2</v>
      </c>
      <c r="D31" s="27">
        <v>0</v>
      </c>
      <c r="E31" s="29">
        <f>TRUNC(D31/C31)</f>
        <v>0</v>
      </c>
      <c r="F31" s="11" t="str">
        <f>BASE!F11</f>
        <v>0</v>
      </c>
      <c r="G31" s="49">
        <v>0</v>
      </c>
      <c r="H31" s="69">
        <f>('Description classe'!D24+$N$29*Avantage!$B$56)*BASE!$E$2</f>
        <v>0</v>
      </c>
      <c r="I31" s="11">
        <f>IF(G31&gt;0,F31*G31,0)+IF(AND(Avantage!B51=1,D31&gt;0),10,0)+IF(AND(Avantage!$B$54&gt;0,M31=1),Avantage!$B$54*10*BASE!$E$2,0)</f>
        <v>0</v>
      </c>
      <c r="J31" s="11">
        <f>IF(Avantage!$B$50=0,maluspasdebase(E31),E31)+F31+H31+I31</f>
        <v>-30</v>
      </c>
      <c r="K31" s="197">
        <v>0</v>
      </c>
      <c r="M31" s="197">
        <v>0</v>
      </c>
    </row>
    <row r="32" spans="1:13" ht="12.75">
      <c r="A32" s="22" t="s">
        <v>7</v>
      </c>
      <c r="B32" s="70" t="s">
        <v>77</v>
      </c>
      <c r="C32" s="69">
        <f>IF(('Description classe'!C25-K32*Avantage!$B$46-$L$29)&lt;1,1,('Description classe'!C25-K32*Avantage!$B$46-$L$29))</f>
        <v>2</v>
      </c>
      <c r="D32" s="27">
        <v>0</v>
      </c>
      <c r="E32" s="29">
        <f aca="true" t="shared" si="1" ref="E32:E41">TRUNC(D32/C32)</f>
        <v>0</v>
      </c>
      <c r="F32" s="11" t="str">
        <f>BASE!F14</f>
        <v>0</v>
      </c>
      <c r="G32" s="49">
        <v>0</v>
      </c>
      <c r="H32" s="69">
        <f>('Description classe'!D25+$N$29*Avantage!$B$56)*BASE!$E$2</f>
        <v>0</v>
      </c>
      <c r="I32" s="11">
        <f>IF(G32&gt;0,F32*G32,0)+IF(AND(Avantage!B52=1,D32&gt;0),10,0)+IF(AND(Avantage!$B$54&gt;0,M32=1),Avantage!$B$54*10*BASE!$E$2,0)</f>
        <v>0</v>
      </c>
      <c r="J32" s="11">
        <f>IF(Avantage!$B$50=0,maluspasdebase(E32),E32)+F32+H32+I32</f>
        <v>-30</v>
      </c>
      <c r="K32" s="197">
        <v>0</v>
      </c>
      <c r="M32" s="197">
        <v>0</v>
      </c>
    </row>
    <row r="33" spans="1:13" ht="12.75">
      <c r="A33" s="22" t="s">
        <v>4</v>
      </c>
      <c r="B33" s="70" t="s">
        <v>78</v>
      </c>
      <c r="C33" s="69">
        <f>IF(('Description classe'!C26-K33*Avantage!$B$46-$L$29)&lt;1,1,('Description classe'!C26-K33*Avantage!$B$46-$L$29))</f>
        <v>2</v>
      </c>
      <c r="D33" s="27">
        <v>0</v>
      </c>
      <c r="E33" s="29">
        <f t="shared" si="1"/>
        <v>0</v>
      </c>
      <c r="F33" s="11" t="str">
        <f>BASE!F11</f>
        <v>0</v>
      </c>
      <c r="G33" s="49">
        <v>0</v>
      </c>
      <c r="H33" s="69">
        <f>('Description classe'!D26+$N$29*Avantage!$B$56)*BASE!$E$2</f>
        <v>0</v>
      </c>
      <c r="I33" s="11">
        <f>IF(G33&gt;0,F33*G33,0)+IF(AND(Avantage!B53=1,D33&gt;0),10,0)+IF(AND(Avantage!$B$54&gt;0,M33=1),Avantage!$B$54*10*BASE!$E$2,0)</f>
        <v>0</v>
      </c>
      <c r="J33" s="11">
        <f>IF(Avantage!$B$50=0,maluspasdebase(E33),E33)+F33+H33+I33</f>
        <v>-30</v>
      </c>
      <c r="K33" s="197">
        <v>0</v>
      </c>
      <c r="M33" s="197">
        <v>0</v>
      </c>
    </row>
    <row r="34" spans="1:13" ht="12.75">
      <c r="A34" s="22" t="s">
        <v>4</v>
      </c>
      <c r="B34" s="70" t="s">
        <v>79</v>
      </c>
      <c r="C34" s="69">
        <f>IF(('Description classe'!C27-K34*Avantage!$B$46-$L$29)&lt;1,1,('Description classe'!C27-K34*Avantage!$B$46-$L$29))</f>
        <v>2</v>
      </c>
      <c r="D34" s="27">
        <v>0</v>
      </c>
      <c r="E34" s="29">
        <f t="shared" si="1"/>
        <v>0</v>
      </c>
      <c r="F34" s="11" t="str">
        <f>BASE!F11</f>
        <v>0</v>
      </c>
      <c r="G34" s="49">
        <v>0</v>
      </c>
      <c r="H34" s="69">
        <f>('Description classe'!D27+$N$29*Avantage!$B$56)*BASE!$E$2</f>
        <v>0</v>
      </c>
      <c r="I34" s="11">
        <f>IF(G34&gt;0,F34*G34,0)+IF(AND(Avantage!B54=1,D34&gt;0),10,0)+IF(AND(Avantage!$B$54&gt;0,M34=1),Avantage!$B$54*10*BASE!$E$2,0)</f>
        <v>0</v>
      </c>
      <c r="J34" s="11">
        <f>IF(Avantage!$B$50=0,maluspasdebase(E34),E34)+F34+H34+I34</f>
        <v>-30</v>
      </c>
      <c r="K34" s="197">
        <v>0</v>
      </c>
      <c r="M34" s="197">
        <v>0</v>
      </c>
    </row>
    <row r="35" spans="1:13" ht="12.75">
      <c r="A35" s="22" t="s">
        <v>4</v>
      </c>
      <c r="B35" s="70" t="s">
        <v>225</v>
      </c>
      <c r="C35" s="69">
        <f>IF(('Description classe'!C28-K35*Avantage!$B$46-$L$29)&lt;1,1,('Description classe'!C28-K35*Avantage!$B$46-$L$29))</f>
        <v>2</v>
      </c>
      <c r="D35" s="27">
        <v>0</v>
      </c>
      <c r="E35" s="29">
        <f t="shared" si="1"/>
        <v>0</v>
      </c>
      <c r="F35" s="11" t="str">
        <f>BASE!F11</f>
        <v>0</v>
      </c>
      <c r="G35" s="49">
        <v>0</v>
      </c>
      <c r="H35" s="69">
        <f>('Description classe'!D28+$N$29*Avantage!$B$56)*BASE!$E$2</f>
        <v>0</v>
      </c>
      <c r="I35" s="11">
        <f>IF(G35&gt;0,F35*G35,0)+IF(AND(Avantage!B55=1,D35&gt;0),10,0)+IF(AND(Avantage!$B$54&gt;0,M35=1),Avantage!$B$54*10*BASE!$E$2,0)</f>
        <v>0</v>
      </c>
      <c r="J35" s="11">
        <f>IF(Avantage!$B$50=0,maluspasdebase(E35),E35)+F35+H35+I35</f>
        <v>-30</v>
      </c>
      <c r="K35" s="197">
        <v>0</v>
      </c>
      <c r="M35" s="197">
        <v>0</v>
      </c>
    </row>
    <row r="36" spans="1:13" ht="12.75">
      <c r="A36" s="22" t="s">
        <v>4</v>
      </c>
      <c r="B36" s="70" t="s">
        <v>125</v>
      </c>
      <c r="C36" s="69">
        <f>IF(('Description classe'!C29-K36*Avantage!$B$46-$L$29)&lt;1,1,('Description classe'!C29-K36*Avantage!$B$46-$L$29))</f>
        <v>2</v>
      </c>
      <c r="D36" s="27">
        <v>0</v>
      </c>
      <c r="E36" s="29">
        <f t="shared" si="1"/>
        <v>0</v>
      </c>
      <c r="F36" s="11" t="str">
        <f>BASE!F11</f>
        <v>0</v>
      </c>
      <c r="G36" s="49">
        <v>0</v>
      </c>
      <c r="H36" s="69">
        <f>('Description classe'!D29+$N$29*Avantage!$B$56)*BASE!$E$2</f>
        <v>0</v>
      </c>
      <c r="I36" s="11">
        <f>IF(G36&gt;0,F36*G36,0)+IF(AND(Avantage!B56=1,D36&gt;0),10,0)+IF(AND(Avantage!$B$54&gt;0,M36=1),Avantage!$B$54*10*BASE!$E$2,0)</f>
        <v>0</v>
      </c>
      <c r="J36" s="11">
        <f>IF(Avantage!$B$50=0,maluspasdebase(E36),E36)+F36+H36+I36</f>
        <v>-30</v>
      </c>
      <c r="K36" s="197">
        <v>0</v>
      </c>
      <c r="M36" s="197">
        <v>0</v>
      </c>
    </row>
    <row r="37" spans="1:13" ht="12.75">
      <c r="A37" s="22" t="s">
        <v>4</v>
      </c>
      <c r="B37" s="70" t="s">
        <v>80</v>
      </c>
      <c r="C37" s="69">
        <f>IF(('Description classe'!C30-K37*Avantage!$B$46-$L$29)&lt;1,1,('Description classe'!C30-K37*Avantage!$B$46-$L$29))</f>
        <v>2</v>
      </c>
      <c r="D37" s="27">
        <v>0</v>
      </c>
      <c r="E37" s="29">
        <f t="shared" si="1"/>
        <v>0</v>
      </c>
      <c r="F37" s="11" t="str">
        <f>BASE!F11</f>
        <v>0</v>
      </c>
      <c r="G37" s="49">
        <v>0</v>
      </c>
      <c r="H37" s="69">
        <f>('Description classe'!D30+$N$29*Avantage!$B$56)*BASE!$E$2</f>
        <v>0</v>
      </c>
      <c r="I37" s="11">
        <f>IF(G37&gt;0,F37*G37,0)+IF(AND(Avantage!B57=1,D37&gt;0),10,0)+IF(AND(Avantage!$B$54&gt;0,M37=1),Avantage!$B$54*10*BASE!$E$2,0)</f>
        <v>0</v>
      </c>
      <c r="J37" s="11">
        <f>IF(Avantage!$B$50=0,maluspasdebase(E37),E37)+F37+H37+I37</f>
        <v>-30</v>
      </c>
      <c r="K37" s="197">
        <v>0</v>
      </c>
      <c r="M37" s="197">
        <v>0</v>
      </c>
    </row>
    <row r="38" spans="1:13" ht="12.75">
      <c r="A38" s="22" t="s">
        <v>4</v>
      </c>
      <c r="B38" s="70" t="s">
        <v>81</v>
      </c>
      <c r="C38" s="69">
        <f>IF(('Description classe'!C31-K38*Avantage!$B$46-$L$29)&lt;1,1,('Description classe'!C31-K38*Avantage!$B$46-$L$29))</f>
        <v>2</v>
      </c>
      <c r="D38" s="27">
        <v>0</v>
      </c>
      <c r="E38" s="29">
        <f t="shared" si="1"/>
        <v>0</v>
      </c>
      <c r="F38" s="11" t="str">
        <f>BASE!F11</f>
        <v>0</v>
      </c>
      <c r="G38" s="49">
        <v>0</v>
      </c>
      <c r="H38" s="69">
        <f>('Description classe'!D31+$N$29*Avantage!$B$56)*BASE!$E$2</f>
        <v>0</v>
      </c>
      <c r="I38" s="11">
        <f>IF(G38&gt;0,F38*G38,0)+IF(AND(Avantage!B58=1,D38&gt;0),10,0)+IF(AND(Avantage!$B$54&gt;0,M38=1),Avantage!$B$54*10*BASE!$E$2,0)</f>
        <v>0</v>
      </c>
      <c r="J38" s="11">
        <f>IF(Avantage!$B$50=0,maluspasdebase(E38),E38)+F38+H38+I38</f>
        <v>-30</v>
      </c>
      <c r="K38" s="197">
        <v>0</v>
      </c>
      <c r="M38" s="197">
        <v>0</v>
      </c>
    </row>
    <row r="39" spans="1:13" ht="12.75">
      <c r="A39" s="22" t="s">
        <v>4</v>
      </c>
      <c r="B39" s="70" t="s">
        <v>224</v>
      </c>
      <c r="C39" s="69">
        <f>IF(('Description classe'!C32-K39*Avantage!$B$46-$L$29)&lt;1,1,('Description classe'!C32-K39*Avantage!$B$46-$L$29))</f>
        <v>2</v>
      </c>
      <c r="D39" s="27">
        <v>0</v>
      </c>
      <c r="E39" s="29">
        <f t="shared" si="1"/>
        <v>0</v>
      </c>
      <c r="F39" s="11" t="str">
        <f>BASE!F11</f>
        <v>0</v>
      </c>
      <c r="G39" s="49">
        <v>0</v>
      </c>
      <c r="H39" s="69">
        <f>('Description classe'!D32+$N$29*Avantage!$B$56)*BASE!$E$2</f>
        <v>0</v>
      </c>
      <c r="I39" s="11">
        <f>IF(G39&gt;0,F39*G39,0)+IF(AND(Avantage!B59=1,D39&gt;0),10,0)+IF(AND(Avantage!$B$54&gt;0,M39=1),Avantage!$B$54*10*BASE!$E$2,0)</f>
        <v>0</v>
      </c>
      <c r="J39" s="11">
        <f>IF(Avantage!$B$50=0,maluspasdebase(E39),E39)+F39+H39+I39</f>
        <v>-30</v>
      </c>
      <c r="K39" s="197">
        <v>0</v>
      </c>
      <c r="M39" s="197">
        <v>0</v>
      </c>
    </row>
    <row r="40" spans="1:13" ht="12.75">
      <c r="A40" s="22" t="s">
        <v>4</v>
      </c>
      <c r="B40" s="70" t="s">
        <v>126</v>
      </c>
      <c r="C40" s="69">
        <f>IF(('Description classe'!C33-K40*Avantage!$B$46-$L$29)&lt;1,1,('Description classe'!C33-K40*Avantage!$B$46-$L$29))</f>
        <v>2</v>
      </c>
      <c r="D40" s="27">
        <v>0</v>
      </c>
      <c r="E40" s="29">
        <f t="shared" si="1"/>
        <v>0</v>
      </c>
      <c r="F40" s="11" t="str">
        <f>BASE!F11</f>
        <v>0</v>
      </c>
      <c r="G40" s="49">
        <v>0</v>
      </c>
      <c r="H40" s="69">
        <f>('Description classe'!D33+$N$29*Avantage!$B$56)*BASE!$E$2</f>
        <v>0</v>
      </c>
      <c r="I40" s="11">
        <f>IF(G40&gt;0,F40*G40,0)+IF(AND(Avantage!B60=1,D40&gt;0),10,0)+IF(AND(Avantage!$B$54&gt;0,M40=1),Avantage!$B$54*10*BASE!$E$2,0)</f>
        <v>0</v>
      </c>
      <c r="J40" s="11">
        <f>IF(Avantage!$B$50=0,maluspasdebase(E40),E40)+F40+H40+I40</f>
        <v>-30</v>
      </c>
      <c r="K40" s="197">
        <v>0</v>
      </c>
      <c r="M40" s="197">
        <v>0</v>
      </c>
    </row>
    <row r="41" spans="1:13" ht="13.5" thickBot="1">
      <c r="A41" s="23" t="s">
        <v>4</v>
      </c>
      <c r="B41" s="72" t="s">
        <v>402</v>
      </c>
      <c r="C41" s="59">
        <f>IF(('Description classe'!C52-K41*Avantage!$B$46-$L$29)&lt;1,1,('Description classe'!C52-K41*Avantage!$B$46-$L$29))</f>
        <v>2</v>
      </c>
      <c r="D41" s="28">
        <v>0</v>
      </c>
      <c r="E41" s="199">
        <f t="shared" si="1"/>
        <v>0</v>
      </c>
      <c r="F41" s="12" t="str">
        <f>BASE!F11</f>
        <v>0</v>
      </c>
      <c r="G41" s="50">
        <v>0</v>
      </c>
      <c r="H41" s="59">
        <f>('Description classe'!D52+$N$29*Avantage!$B$56)*BASE!$E$2</f>
        <v>0</v>
      </c>
      <c r="I41" s="12">
        <f>IF(G41&gt;0,F41*G41,0)+IF(AND(Avantage!B61=1,D41&gt;0),10,0)+IF(AND(Avantage!$B$54&gt;0,M41=1),Avantage!$B$54*10*BASE!$E$2,0)</f>
        <v>0</v>
      </c>
      <c r="J41" s="11">
        <f>IF(Avantage!$B$50=0,maluspasdebase(E41),E41)+F41+H41+I41</f>
        <v>-30</v>
      </c>
      <c r="K41" s="110">
        <v>0</v>
      </c>
      <c r="M41" s="110">
        <v>0</v>
      </c>
    </row>
    <row r="42" spans="1:14" ht="13.5" thickBot="1">
      <c r="A42" s="292" t="s">
        <v>82</v>
      </c>
      <c r="B42" s="293"/>
      <c r="C42" s="303"/>
      <c r="D42" s="293"/>
      <c r="E42" s="293"/>
      <c r="F42" s="293"/>
      <c r="G42" s="293"/>
      <c r="H42" s="303"/>
      <c r="I42" s="303"/>
      <c r="J42" s="294"/>
      <c r="L42" s="14" t="s">
        <v>446</v>
      </c>
      <c r="N42" s="34" t="s">
        <v>445</v>
      </c>
    </row>
    <row r="43" spans="1:14" ht="13.5" thickBot="1">
      <c r="A43" s="14" t="s">
        <v>19</v>
      </c>
      <c r="B43" s="13" t="s">
        <v>120</v>
      </c>
      <c r="C43" s="14" t="s">
        <v>121</v>
      </c>
      <c r="D43" s="73" t="s">
        <v>37</v>
      </c>
      <c r="E43" s="73" t="s">
        <v>18</v>
      </c>
      <c r="F43" s="13" t="s">
        <v>19</v>
      </c>
      <c r="G43" s="13" t="s">
        <v>257</v>
      </c>
      <c r="H43" s="73" t="s">
        <v>20</v>
      </c>
      <c r="I43" s="14" t="s">
        <v>21</v>
      </c>
      <c r="J43" s="14" t="s">
        <v>22</v>
      </c>
      <c r="K43" s="14" t="s">
        <v>414</v>
      </c>
      <c r="L43" s="108">
        <v>0</v>
      </c>
      <c r="M43" s="14" t="s">
        <v>444</v>
      </c>
      <c r="N43" s="108">
        <v>0</v>
      </c>
    </row>
    <row r="44" spans="1:13" ht="12.75">
      <c r="A44" s="57" t="s">
        <v>7</v>
      </c>
      <c r="B44" s="71" t="s">
        <v>83</v>
      </c>
      <c r="C44" s="69">
        <f>IF(('Description classe'!C34-K44*Avantage!$B$46-$L$43)&lt;1,1,('Description classe'!C34-K44*Avantage!$B$46-$L$43))</f>
        <v>2</v>
      </c>
      <c r="D44" s="48">
        <v>0</v>
      </c>
      <c r="E44" s="51">
        <f aca="true" t="shared" si="2" ref="E44:E49">TRUNC(D44/C44)</f>
        <v>0</v>
      </c>
      <c r="F44" s="30" t="str">
        <f>BASE!F14</f>
        <v>0</v>
      </c>
      <c r="G44" s="48">
        <v>0</v>
      </c>
      <c r="H44" s="68">
        <f>('Description classe'!D34+$N$43*Avantage!$B$56)*BASE!$E$2</f>
        <v>0</v>
      </c>
      <c r="I44" s="30">
        <f>IF(G44&gt;0,F44*G44,0)+IF(AND(Avantage!B50=1,D44&gt;0),10,0)+IF(AND(Avantage!$B$54&gt;0,M44=1),Avantage!$B$54*10*BASE!$E$2,0)</f>
        <v>0</v>
      </c>
      <c r="J44" s="11">
        <f>IF(Avantage!$B$50=0,maluspasdebase(E44),E44)+F44+H44+I44</f>
        <v>-30</v>
      </c>
      <c r="K44" s="196">
        <v>0</v>
      </c>
      <c r="M44" s="196">
        <v>0</v>
      </c>
    </row>
    <row r="45" spans="1:13" ht="12.75">
      <c r="A45" s="22" t="s">
        <v>4</v>
      </c>
      <c r="B45" s="70" t="s">
        <v>226</v>
      </c>
      <c r="C45" s="69">
        <f>IF(('Description classe'!C35-K45*Avantage!$B$46-$L$43)&lt;1,1,('Description classe'!C35-K45*Avantage!$B$46-$L$43))</f>
        <v>2</v>
      </c>
      <c r="D45" s="49">
        <v>0</v>
      </c>
      <c r="E45" s="52">
        <f t="shared" si="2"/>
        <v>0</v>
      </c>
      <c r="F45" s="11" t="str">
        <f>BASE!F11</f>
        <v>0</v>
      </c>
      <c r="G45" s="49">
        <v>0</v>
      </c>
      <c r="H45" s="69">
        <f>('Description classe'!D35+$N$43*Avantage!$B$56)*BASE!$E$2</f>
        <v>0</v>
      </c>
      <c r="I45" s="11">
        <f>IF(G45&gt;0,F45*G45,0)+IF(AND(Avantage!B51=1,D45&gt;0),10,0)+IF(AND(Avantage!$B$54&gt;0,M45=1),Avantage!$B$54*10*BASE!$E$2,0)</f>
        <v>0</v>
      </c>
      <c r="J45" s="11">
        <f>IF(Avantage!$B$50=0,maluspasdebase(E45),E45)+F45+H45+I45</f>
        <v>-30</v>
      </c>
      <c r="K45" s="197">
        <v>0</v>
      </c>
      <c r="M45" s="197">
        <v>0</v>
      </c>
    </row>
    <row r="46" spans="1:13" ht="12.75">
      <c r="A46" s="22" t="s">
        <v>4</v>
      </c>
      <c r="B46" s="70" t="s">
        <v>227</v>
      </c>
      <c r="C46" s="69">
        <f>IF(('Description classe'!C36-K46*Avantage!$B$46-$L$43)&lt;1,1,('Description classe'!C36-K46*Avantage!$B$46-$L$43))</f>
        <v>2</v>
      </c>
      <c r="D46" s="49">
        <v>0</v>
      </c>
      <c r="E46" s="52">
        <f t="shared" si="2"/>
        <v>0</v>
      </c>
      <c r="F46" s="11" t="str">
        <f>BASE!F11</f>
        <v>0</v>
      </c>
      <c r="G46" s="49">
        <v>0</v>
      </c>
      <c r="H46" s="69">
        <f>('Description classe'!D36+$N$43*Avantage!$B$56)*BASE!$E$2</f>
        <v>0</v>
      </c>
      <c r="I46" s="11">
        <f>IF(G46&gt;0,F46*G46,0)+IF(AND(Avantage!B52=1,D46&gt;0),10,0)+IF(AND(Avantage!$B$54&gt;0,M46=1),Avantage!$B$54*10*BASE!$E$2,0)</f>
        <v>0</v>
      </c>
      <c r="J46" s="11">
        <f>IF(Avantage!$B$50=0,maluspasdebase(E46),E46)+F46+H46+I46</f>
        <v>-30</v>
      </c>
      <c r="K46" s="197">
        <v>0</v>
      </c>
      <c r="M46" s="197">
        <v>0</v>
      </c>
    </row>
    <row r="47" spans="1:13" ht="12.75">
      <c r="A47" s="22" t="s">
        <v>6</v>
      </c>
      <c r="B47" s="70" t="s">
        <v>84</v>
      </c>
      <c r="C47" s="69">
        <f>IF(('Description classe'!C37-K47*Avantage!$B$46-$L$43)&lt;1,1,('Description classe'!C37-K47*Avantage!$B$46-$L$43))</f>
        <v>2</v>
      </c>
      <c r="D47" s="49">
        <v>0</v>
      </c>
      <c r="E47" s="52">
        <f t="shared" si="2"/>
        <v>0</v>
      </c>
      <c r="F47" s="11" t="str">
        <f>BASE!F13</f>
        <v>0</v>
      </c>
      <c r="G47" s="49">
        <v>0</v>
      </c>
      <c r="H47" s="69">
        <f>('Description classe'!D37+$N$43*Avantage!$B$56)*BASE!$E$2</f>
        <v>0</v>
      </c>
      <c r="I47" s="11">
        <f>IF(G47&gt;0,F47*G47,0)+IF(AND(Avantage!B53=1,D47&gt;0),10,0)+IF(AND(Avantage!$B$54&gt;0,M47=1),Avantage!$B$54*10*BASE!$E$2,0)</f>
        <v>0</v>
      </c>
      <c r="J47" s="11">
        <f>IF(Avantage!$B$50=0,maluspasdebase(E47),E47)+F47+H47+I47</f>
        <v>-30</v>
      </c>
      <c r="K47" s="197">
        <v>0</v>
      </c>
      <c r="M47" s="197">
        <v>0</v>
      </c>
    </row>
    <row r="48" spans="1:13" ht="12.75">
      <c r="A48" s="22" t="s">
        <v>4</v>
      </c>
      <c r="B48" s="70" t="s">
        <v>85</v>
      </c>
      <c r="C48" s="69">
        <f>IF(('Description classe'!C38-K48*Avantage!$B$46-$L$43)&lt;1,1,('Description classe'!C38-K48*Avantage!$B$46-$L$43))</f>
        <v>2</v>
      </c>
      <c r="D48" s="49">
        <v>0</v>
      </c>
      <c r="E48" s="52">
        <f t="shared" si="2"/>
        <v>0</v>
      </c>
      <c r="F48" s="11" t="str">
        <f>BASE!F11</f>
        <v>0</v>
      </c>
      <c r="G48" s="49">
        <v>0</v>
      </c>
      <c r="H48" s="69">
        <f>('Description classe'!D38+$N$43*Avantage!$B$56)*BASE!$E$2</f>
        <v>0</v>
      </c>
      <c r="I48" s="11">
        <f>IF(G48&gt;0,F48*G48,0)+IF(AND(Avantage!B54=1,D48&gt;0),10,0)+IF(AND(Avantage!$B$54&gt;0,M48=1),Avantage!$B$54*10*BASE!$E$2,0)</f>
        <v>0</v>
      </c>
      <c r="J48" s="11">
        <f>IF(Avantage!$B$50=0,maluspasdebase(E48),E48)+F48+H48+I48</f>
        <v>-30</v>
      </c>
      <c r="K48" s="197">
        <v>0</v>
      </c>
      <c r="M48" s="197">
        <v>0</v>
      </c>
    </row>
    <row r="49" spans="1:13" ht="13.5" thickBot="1">
      <c r="A49" s="23" t="s">
        <v>7</v>
      </c>
      <c r="B49" s="72" t="s">
        <v>86</v>
      </c>
      <c r="C49" s="69">
        <f>IF(('Description classe'!C39-K49*Avantage!$B$46-$L$43)&lt;1,1,('Description classe'!C39-K49*Avantage!$B$46-$L$43))</f>
        <v>2</v>
      </c>
      <c r="D49" s="50">
        <v>0</v>
      </c>
      <c r="E49" s="53">
        <f t="shared" si="2"/>
        <v>0</v>
      </c>
      <c r="F49" s="12" t="str">
        <f>BASE!F14</f>
        <v>0</v>
      </c>
      <c r="G49" s="50">
        <v>0</v>
      </c>
      <c r="H49" s="59">
        <f>('Description classe'!D39+$N$43*Avantage!$B$56)*BASE!$E$2</f>
        <v>0</v>
      </c>
      <c r="I49" s="12">
        <f>IF(G49&gt;0,F49*G49,0)+IF(AND(Avantage!B55=1,D49&gt;0),10,0)+IF(AND(Avantage!$B$54&gt;0,M49=1),Avantage!$B$54*10*BASE!$E$2,0)</f>
        <v>0</v>
      </c>
      <c r="J49" s="11">
        <f>IF(Avantage!$B$50=0,maluspasdebase(E49),E49)+F49+H49+I49</f>
        <v>-30</v>
      </c>
      <c r="K49" s="110">
        <v>0</v>
      </c>
      <c r="M49" s="110">
        <v>0</v>
      </c>
    </row>
    <row r="50" spans="1:14" ht="13.5" thickBot="1">
      <c r="A50" s="292" t="s">
        <v>87</v>
      </c>
      <c r="B50" s="293"/>
      <c r="C50" s="293"/>
      <c r="D50" s="293"/>
      <c r="E50" s="293"/>
      <c r="F50" s="293"/>
      <c r="G50" s="293"/>
      <c r="H50" s="303"/>
      <c r="I50" s="303"/>
      <c r="J50" s="294"/>
      <c r="L50" s="14" t="s">
        <v>446</v>
      </c>
      <c r="N50" s="34" t="s">
        <v>445</v>
      </c>
    </row>
    <row r="51" spans="1:14" ht="13.5" thickBot="1">
      <c r="A51" s="14" t="s">
        <v>19</v>
      </c>
      <c r="B51" s="13" t="s">
        <v>120</v>
      </c>
      <c r="C51" s="14" t="s">
        <v>121</v>
      </c>
      <c r="D51" s="73" t="s">
        <v>37</v>
      </c>
      <c r="E51" s="14" t="s">
        <v>18</v>
      </c>
      <c r="F51" s="13" t="s">
        <v>19</v>
      </c>
      <c r="G51" s="13" t="s">
        <v>257</v>
      </c>
      <c r="H51" s="73" t="s">
        <v>20</v>
      </c>
      <c r="I51" s="73" t="s">
        <v>21</v>
      </c>
      <c r="J51" s="14" t="s">
        <v>22</v>
      </c>
      <c r="K51" s="14" t="s">
        <v>414</v>
      </c>
      <c r="L51" s="108">
        <v>0</v>
      </c>
      <c r="M51" s="14" t="s">
        <v>444</v>
      </c>
      <c r="N51" s="108">
        <v>0</v>
      </c>
    </row>
    <row r="52" spans="1:13" ht="12.75">
      <c r="A52" s="57" t="s">
        <v>5</v>
      </c>
      <c r="B52" s="71" t="s">
        <v>88</v>
      </c>
      <c r="C52" s="68">
        <f>IF(('Description classe'!C40-K52*Avantage!$B$46-$L$51)&lt;1,1,('Description classe'!C40-K52*Avantage!$B$46-$L$51))</f>
        <v>2</v>
      </c>
      <c r="D52" s="48">
        <v>0</v>
      </c>
      <c r="E52" s="52">
        <f aca="true" t="shared" si="3" ref="E52:E58">TRUNC(D52/C52)</f>
        <v>0</v>
      </c>
      <c r="F52" s="30" t="str">
        <f>BASE!F12</f>
        <v>0</v>
      </c>
      <c r="G52" s="48">
        <v>0</v>
      </c>
      <c r="H52" s="68">
        <f>('Description classe'!D40+$N$51*Avantage!$B$56)*BASE!$E$2</f>
        <v>0</v>
      </c>
      <c r="I52" s="30">
        <f>IF(G52&gt;0,F52*G52,0)+IF(AND(Avantage!B50=1,D52&gt;0),10,0)+IF(AND(Avantage!$B$54&gt;0,M52=1),Avantage!$B$54*10*BASE!$E$2,0)</f>
        <v>0</v>
      </c>
      <c r="J52" s="30">
        <f>IF(Avantage!$B$50=0,maluspasdebase(E52),E52)+F52+H52+I52</f>
        <v>-30</v>
      </c>
      <c r="K52" s="196">
        <v>0</v>
      </c>
      <c r="M52" s="196">
        <v>0</v>
      </c>
    </row>
    <row r="53" spans="1:13" ht="12.75">
      <c r="A53" s="22" t="s">
        <v>2</v>
      </c>
      <c r="B53" s="70" t="s">
        <v>89</v>
      </c>
      <c r="C53" s="69">
        <f>IF(('Description classe'!C41-K53*Avantage!$B$46-$L$51)&lt;1,1,('Description classe'!C41-K53*Avantage!$B$46-$L$51))</f>
        <v>2</v>
      </c>
      <c r="D53" s="49">
        <v>0</v>
      </c>
      <c r="E53" s="52">
        <f t="shared" si="3"/>
        <v>0</v>
      </c>
      <c r="F53" s="11" t="str">
        <f>BASE!F8</f>
        <v>0</v>
      </c>
      <c r="G53" s="49">
        <v>0</v>
      </c>
      <c r="H53" s="69">
        <f>('Description classe'!D41+$N$51*Avantage!$B$56)*BASE!$E$2</f>
        <v>0</v>
      </c>
      <c r="I53" s="11">
        <f>IF(G53&gt;0,F53*G53,0)+IF(AND(Avantage!B51=1,D53&gt;0),10,0)+IF(AND(Avantage!$B$54&gt;0,M53=1),Avantage!$B$54*10*BASE!$E$2,0)</f>
        <v>0</v>
      </c>
      <c r="J53" s="11">
        <f>IF(Avantage!$B$50=0,maluspasdebase(E53),E53)+F53+H53+I53</f>
        <v>-30</v>
      </c>
      <c r="K53" s="197">
        <v>0</v>
      </c>
      <c r="M53" s="197">
        <v>0</v>
      </c>
    </row>
    <row r="54" spans="1:13" ht="12.75">
      <c r="A54" s="22" t="s">
        <v>2</v>
      </c>
      <c r="B54" s="70" t="s">
        <v>127</v>
      </c>
      <c r="C54" s="69">
        <f>IF(('Description classe'!C42-K54*Avantage!$B$46-$L$51)&lt;1,1,('Description classe'!C42-K54*Avantage!$B$46-$L$51))</f>
        <v>2</v>
      </c>
      <c r="D54" s="49">
        <v>0</v>
      </c>
      <c r="E54" s="52">
        <f t="shared" si="3"/>
        <v>0</v>
      </c>
      <c r="F54" s="11" t="str">
        <f>BASE!F8</f>
        <v>0</v>
      </c>
      <c r="G54" s="49">
        <v>0</v>
      </c>
      <c r="H54" s="69">
        <f>('Description classe'!D42+$N$51*Avantage!$B$56)*BASE!$E$2</f>
        <v>0</v>
      </c>
      <c r="I54" s="11">
        <f>IF(G54&gt;0,F54*G54,0)+IF(AND(Avantage!B52=1,D54&gt;0),10,0)+IF(AND(Avantage!$B$54&gt;0,M54=1),Avantage!$B$54*10*BASE!$E$2,0)</f>
        <v>0</v>
      </c>
      <c r="J54" s="11">
        <f>IF(Avantage!$B$50=0,maluspasdebase(E54),E54)+F54+H54+I54</f>
        <v>-30</v>
      </c>
      <c r="K54" s="197">
        <v>0</v>
      </c>
      <c r="M54" s="197">
        <v>0</v>
      </c>
    </row>
    <row r="55" spans="1:13" ht="12.75">
      <c r="A55" s="22" t="s">
        <v>1</v>
      </c>
      <c r="B55" s="70" t="s">
        <v>128</v>
      </c>
      <c r="C55" s="69">
        <f>IF(('Description classe'!C43-K55*Avantage!$B$46-$L$51)&lt;1,1,('Description classe'!C43-K55*Avantage!$B$46-$L$51))</f>
        <v>2</v>
      </c>
      <c r="D55" s="49">
        <v>0</v>
      </c>
      <c r="E55" s="52">
        <f t="shared" si="3"/>
        <v>0</v>
      </c>
      <c r="F55" s="11" t="str">
        <f>BASE!F7</f>
        <v>0</v>
      </c>
      <c r="G55" s="49">
        <v>0</v>
      </c>
      <c r="H55" s="69">
        <f>('Description classe'!D43+$N$51*Avantage!$B$56)*BASE!$E$2</f>
        <v>0</v>
      </c>
      <c r="I55" s="11">
        <f>IF(G55&gt;0,F55*G55,0)+IF(AND(Avantage!B53=1,D55&gt;0),10,0)+IF(AND(Avantage!$B$54&gt;0,M55=1),Avantage!$B$54*10*BASE!$E$2,0)</f>
        <v>0</v>
      </c>
      <c r="J55" s="11">
        <f>IF(Avantage!$B$50=0,maluspasdebase(E55),E55)+F55+H55+I55</f>
        <v>-30</v>
      </c>
      <c r="K55" s="197">
        <v>0</v>
      </c>
      <c r="M55" s="197">
        <v>0</v>
      </c>
    </row>
    <row r="56" spans="1:13" ht="12.75">
      <c r="A56" s="22" t="s">
        <v>2</v>
      </c>
      <c r="B56" s="70" t="s">
        <v>90</v>
      </c>
      <c r="C56" s="69">
        <f>IF(('Description classe'!C44-K56*Avantage!$B$46-$L$51)&lt;1,1,('Description classe'!C44-K56*Avantage!$B$46-$L$51))</f>
        <v>2</v>
      </c>
      <c r="D56" s="49">
        <v>0</v>
      </c>
      <c r="E56" s="52">
        <f t="shared" si="3"/>
        <v>0</v>
      </c>
      <c r="F56" s="11" t="str">
        <f>BASE!F8</f>
        <v>0</v>
      </c>
      <c r="G56" s="49">
        <v>0</v>
      </c>
      <c r="H56" s="69">
        <f>('Description classe'!D44+$N$51*Avantage!$B$56)*BASE!$E$2</f>
        <v>0</v>
      </c>
      <c r="I56" s="11">
        <f>IF(G56&gt;0,F56*G56,0)+IF(AND(Avantage!B54=1,D56&gt;0),10,0)+IF(AND(Avantage!$B$54&gt;0,M56=1),Avantage!$B$54*10*BASE!$E$2,0)</f>
        <v>0</v>
      </c>
      <c r="J56" s="11">
        <f>IF(Avantage!$B$50=0,maluspasdebase(E56),E56)+F56+H56+I56</f>
        <v>-30</v>
      </c>
      <c r="K56" s="197">
        <v>0</v>
      </c>
      <c r="M56" s="197">
        <v>0</v>
      </c>
    </row>
    <row r="57" spans="1:13" ht="12.75">
      <c r="A57" s="22" t="s">
        <v>2</v>
      </c>
      <c r="B57" s="70" t="s">
        <v>129</v>
      </c>
      <c r="C57" s="69">
        <f>IF(('Description classe'!C45-K57*Avantage!$B$46-$L$51)&lt;1,1,('Description classe'!C45-K57*Avantage!$B$46-$L$51))</f>
        <v>2</v>
      </c>
      <c r="D57" s="49">
        <v>0</v>
      </c>
      <c r="E57" s="52">
        <f t="shared" si="3"/>
        <v>0</v>
      </c>
      <c r="F57" s="11" t="str">
        <f>BASE!F8</f>
        <v>0</v>
      </c>
      <c r="G57" s="49">
        <v>0</v>
      </c>
      <c r="H57" s="69">
        <f>('Description classe'!D45+$N$51*Avantage!$B$56)*BASE!$E$2</f>
        <v>0</v>
      </c>
      <c r="I57" s="11">
        <f>IF(G57&gt;0,F57*G57,0)+IF(AND(Avantage!B55=1,D57&gt;0),10,0)+IF(AND(Avantage!$B$54&gt;0,M57=1),Avantage!$B$54*10*BASE!$E$2,0)</f>
        <v>0</v>
      </c>
      <c r="J57" s="11">
        <f>IF(Avantage!$B$50=0,maluspasdebase(E57),E57)+F57+H57+I57</f>
        <v>-30</v>
      </c>
      <c r="K57" s="197">
        <v>0</v>
      </c>
      <c r="M57" s="197">
        <v>0</v>
      </c>
    </row>
    <row r="58" spans="1:13" ht="13.5" thickBot="1">
      <c r="A58" s="23" t="s">
        <v>4</v>
      </c>
      <c r="B58" s="72" t="s">
        <v>54</v>
      </c>
      <c r="C58" s="59">
        <f>IF(('Description classe'!C46-K58*Avantage!$B$46-$L$51)&lt;1,1,('Description classe'!C46-K58*Avantage!$B$46-$L$51))</f>
        <v>2</v>
      </c>
      <c r="D58" s="50">
        <v>0</v>
      </c>
      <c r="E58" s="52">
        <f t="shared" si="3"/>
        <v>0</v>
      </c>
      <c r="F58" s="12" t="str">
        <f>BASE!F11</f>
        <v>0</v>
      </c>
      <c r="G58" s="50">
        <v>0</v>
      </c>
      <c r="H58" s="59">
        <f>('Description classe'!D46+$N$51*Avantage!$B$56)*BASE!$E$2</f>
        <v>0</v>
      </c>
      <c r="I58" s="12">
        <f>IF(G58&gt;0,F58*G58,0)+IF(AND(Avantage!B56=1,D58&gt;0),10,0)+IF(AND(Avantage!$B$54&gt;0,M58=1),Avantage!$B$54*10*BASE!$E$2,0)</f>
        <v>0</v>
      </c>
      <c r="J58" s="12">
        <f>IF(Avantage!$B$50=0,maluspasdebase(E58),E58)+F58+H58+I58</f>
        <v>-30</v>
      </c>
      <c r="K58" s="110">
        <v>0</v>
      </c>
      <c r="M58" s="110">
        <v>0</v>
      </c>
    </row>
    <row r="59" spans="1:14" ht="13.5" thickBot="1">
      <c r="A59" s="292" t="s">
        <v>103</v>
      </c>
      <c r="B59" s="293"/>
      <c r="C59" s="303"/>
      <c r="D59" s="293"/>
      <c r="E59" s="293"/>
      <c r="F59" s="293"/>
      <c r="G59" s="293"/>
      <c r="H59" s="303"/>
      <c r="I59" s="303"/>
      <c r="J59" s="294"/>
      <c r="L59" s="14" t="s">
        <v>446</v>
      </c>
      <c r="N59" s="34" t="s">
        <v>445</v>
      </c>
    </row>
    <row r="60" spans="1:14" ht="13.5" thickBot="1">
      <c r="A60" s="14" t="s">
        <v>19</v>
      </c>
      <c r="B60" s="13" t="s">
        <v>120</v>
      </c>
      <c r="C60" s="14" t="s">
        <v>121</v>
      </c>
      <c r="D60" s="73" t="s">
        <v>37</v>
      </c>
      <c r="E60" s="14" t="s">
        <v>18</v>
      </c>
      <c r="F60" s="13" t="s">
        <v>19</v>
      </c>
      <c r="G60" s="13" t="s">
        <v>257</v>
      </c>
      <c r="H60" s="73" t="s">
        <v>20</v>
      </c>
      <c r="I60" s="73" t="s">
        <v>21</v>
      </c>
      <c r="J60" s="14" t="s">
        <v>22</v>
      </c>
      <c r="K60" s="14" t="s">
        <v>414</v>
      </c>
      <c r="L60" s="108">
        <v>0</v>
      </c>
      <c r="M60" s="14" t="s">
        <v>444</v>
      </c>
      <c r="N60" s="108">
        <v>0</v>
      </c>
    </row>
    <row r="61" spans="1:13" ht="12.75">
      <c r="A61" s="57" t="s">
        <v>7</v>
      </c>
      <c r="B61" s="71" t="s">
        <v>104</v>
      </c>
      <c r="C61" s="68">
        <f>IF(('Description classe'!C47-K61*Avantage!$B$46-$L$60)&lt;1,1,('Description classe'!C47-K61*Avantage!$B$46-$L$60))</f>
        <v>2</v>
      </c>
      <c r="D61" s="48">
        <v>0</v>
      </c>
      <c r="E61" s="52">
        <f>TRUNC(D61/C61)</f>
        <v>0</v>
      </c>
      <c r="F61" s="68" t="str">
        <f>BASE!F14</f>
        <v>0</v>
      </c>
      <c r="G61" s="48">
        <v>0</v>
      </c>
      <c r="H61" s="68">
        <f>('Description classe'!D47+$N$60*Avantage!$B$56)*BASE!$E$2</f>
        <v>0</v>
      </c>
      <c r="I61" s="30">
        <f>IF(G61=1,F61,0)+IF(AND(Avantage!B50=1,D61&gt;0),10,0)+IF(AND(Avantage!$B$54&gt;0,M61=1),Avantage!$B$54*10*BASE!$E$2,0)</f>
        <v>0</v>
      </c>
      <c r="J61" s="30">
        <f>IF(Avantage!$B$50=0,maluspasdebase(E61),E61)+F61+H61+I61</f>
        <v>-30</v>
      </c>
      <c r="K61" s="196">
        <v>0</v>
      </c>
      <c r="M61" s="196">
        <v>0</v>
      </c>
    </row>
    <row r="62" spans="1:13" ht="12.75">
      <c r="A62" s="22" t="s">
        <v>2</v>
      </c>
      <c r="B62" s="70" t="s">
        <v>105</v>
      </c>
      <c r="C62" s="69">
        <f>IF(('Description classe'!C48-K62*Avantage!$B$46-$L$60)&lt;1,1,('Description classe'!C48-K62*Avantage!$B$46-$L$60))</f>
        <v>2</v>
      </c>
      <c r="D62" s="49">
        <v>0</v>
      </c>
      <c r="E62" s="52">
        <f>TRUNC(D62/C62)</f>
        <v>0</v>
      </c>
      <c r="F62" s="69" t="str">
        <f>BASE!F8</f>
        <v>0</v>
      </c>
      <c r="G62" s="49">
        <v>0</v>
      </c>
      <c r="H62" s="69">
        <f>('Description classe'!D48+$N$60*Avantage!$B$56)*BASE!$E$2</f>
        <v>0</v>
      </c>
      <c r="I62" s="11">
        <f>IF(G62=1,F62,0)+IF(AND(Avantage!B51=1,D62&gt;0),10,0)+IF(AND(Avantage!$B$54&gt;0,M62=1),Avantage!$B$54*10*BASE!$E$2,0)</f>
        <v>0</v>
      </c>
      <c r="J62" s="11">
        <f>IF(Avantage!$B$50=0,maluspasdebase(E62),E62)+F62+H62+I62</f>
        <v>-30</v>
      </c>
      <c r="K62" s="197">
        <v>0</v>
      </c>
      <c r="M62" s="197">
        <v>0</v>
      </c>
    </row>
    <row r="63" spans="1:13" ht="12.75">
      <c r="A63" s="22" t="s">
        <v>2</v>
      </c>
      <c r="B63" s="70" t="s">
        <v>130</v>
      </c>
      <c r="C63" s="69">
        <f>IF(('Description classe'!C49-K63*Avantage!$B$46-$L$60)&lt;1,1,('Description classe'!C49-K63*Avantage!$B$46-$L$60))</f>
        <v>2</v>
      </c>
      <c r="D63" s="49">
        <v>0</v>
      </c>
      <c r="E63" s="52">
        <f>TRUNC(D63/C63)</f>
        <v>0</v>
      </c>
      <c r="F63" s="69" t="str">
        <f>BASE!F8</f>
        <v>0</v>
      </c>
      <c r="G63" s="49">
        <v>0</v>
      </c>
      <c r="H63" s="69">
        <f>('Description classe'!D49+$N$60*Avantage!$B$56)*BASE!$E$2</f>
        <v>0</v>
      </c>
      <c r="I63" s="11">
        <f>IF(G63=1,F63,0)+IF(AND(Avantage!B52=1,D63&gt;0),10,0)+IF(AND(Avantage!$B$54&gt;0,M63=1),Avantage!$B$54*10*BASE!$E$2,0)+Avantage!B59</f>
        <v>0</v>
      </c>
      <c r="J63" s="11">
        <f>IF(Avantage!$B$50=0,maluspasdebase(E63),E63)+F63+H63+I63</f>
        <v>-30</v>
      </c>
      <c r="K63" s="197">
        <v>0</v>
      </c>
      <c r="M63" s="197">
        <v>0</v>
      </c>
    </row>
    <row r="64" spans="1:13" ht="12.75">
      <c r="A64" s="22" t="s">
        <v>1</v>
      </c>
      <c r="B64" s="70" t="s">
        <v>106</v>
      </c>
      <c r="C64" s="69">
        <f>IF(('Description classe'!C50-K64*Avantage!$B$46-$L$60)&lt;1,1,('Description classe'!C50-K64*Avantage!$B$46-$L$60))</f>
        <v>2</v>
      </c>
      <c r="D64" s="49">
        <v>0</v>
      </c>
      <c r="E64" s="52">
        <f>TRUNC(D64/C64)</f>
        <v>0</v>
      </c>
      <c r="F64" s="69" t="str">
        <f>BASE!F7</f>
        <v>0</v>
      </c>
      <c r="G64" s="49">
        <v>0</v>
      </c>
      <c r="H64" s="69">
        <f>('Description classe'!D50+$N$60*Avantage!$B$56)*BASE!$E$2</f>
        <v>0</v>
      </c>
      <c r="I64" s="11">
        <f>IF(G64=1,F64,0)+IF(AND(Avantage!B53=1,D64&gt;0),10,0)+IF(AND(Avantage!$B$54&gt;0,M64=1),Avantage!$B$54*10*BASE!$E$2,0)</f>
        <v>0</v>
      </c>
      <c r="J64" s="11">
        <f>IF(Avantage!$B$50=0,maluspasdebase(E64),E64)+F64+H64+I64</f>
        <v>-30</v>
      </c>
      <c r="K64" s="197">
        <v>0</v>
      </c>
      <c r="M64" s="197">
        <v>0</v>
      </c>
    </row>
    <row r="65" spans="1:13" ht="13.5" thickBot="1">
      <c r="A65" s="23" t="s">
        <v>7</v>
      </c>
      <c r="B65" s="72" t="s">
        <v>223</v>
      </c>
      <c r="C65" s="59">
        <f>IF(('Description classe'!C51-K65*Avantage!$B$46-$L$60)&lt;1,1,('Description classe'!C51-K65*Avantage!$B$46-$L$60))</f>
        <v>2</v>
      </c>
      <c r="D65" s="50">
        <v>0</v>
      </c>
      <c r="E65" s="53">
        <f>TRUNC(D65/C65)</f>
        <v>0</v>
      </c>
      <c r="F65" s="59" t="str">
        <f>BASE!F14</f>
        <v>0</v>
      </c>
      <c r="G65" s="50">
        <v>0</v>
      </c>
      <c r="H65" s="59">
        <f>('Description classe'!D51+$N$60*Avantage!$B$56)*BASE!$E$2</f>
        <v>0</v>
      </c>
      <c r="I65" s="12">
        <f>IF(G65=1,F65,0)+IF(AND(Avantage!B54=1,D65&gt;0),10,0)+IF(AND(Avantage!$B$54&gt;0,M65=1),Avantage!$B$54*10*BASE!$E$2,0)</f>
        <v>0</v>
      </c>
      <c r="J65" s="12">
        <f>IF(Avantage!$B$50=0,maluspasdebase(E65),E65)+F65+H65+I65</f>
        <v>-30</v>
      </c>
      <c r="K65" s="110">
        <v>0</v>
      </c>
      <c r="M65" s="110">
        <v>0</v>
      </c>
    </row>
    <row r="66" spans="1:11" ht="13.5" hidden="1" thickBot="1">
      <c r="A66" s="37"/>
      <c r="B66" s="37"/>
      <c r="C66" s="38"/>
      <c r="D66" s="38"/>
      <c r="E66" s="56"/>
      <c r="F66" s="38"/>
      <c r="G66" s="38"/>
      <c r="H66" s="37"/>
      <c r="I66" s="37"/>
      <c r="J66" s="37"/>
      <c r="K66" s="156">
        <f>SUM(K12:K65)</f>
        <v>0</v>
      </c>
    </row>
    <row r="67" spans="1:10" ht="13.5" thickBot="1">
      <c r="A67" s="45"/>
      <c r="B67" s="45"/>
      <c r="C67" s="14" t="s">
        <v>27</v>
      </c>
      <c r="D67" s="55">
        <f>SUM(D12:D66)</f>
        <v>0</v>
      </c>
      <c r="E67" s="220" t="s">
        <v>435</v>
      </c>
      <c r="F67" s="55">
        <f>BASE!E3</f>
        <v>600</v>
      </c>
      <c r="G67" s="46"/>
      <c r="H67" s="45"/>
      <c r="I67" s="45"/>
      <c r="J67" s="45"/>
    </row>
  </sheetData>
  <sheetProtection/>
  <mergeCells count="12">
    <mergeCell ref="A23:J23"/>
    <mergeCell ref="K7:L7"/>
    <mergeCell ref="K8:L8"/>
    <mergeCell ref="A42:J42"/>
    <mergeCell ref="A59:J59"/>
    <mergeCell ref="A50:J50"/>
    <mergeCell ref="A28:J28"/>
    <mergeCell ref="E6:F6"/>
    <mergeCell ref="E7:F7"/>
    <mergeCell ref="E8:F8"/>
    <mergeCell ref="A18:J18"/>
    <mergeCell ref="A10:J10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0:I157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35.8515625" style="0" bestFit="1" customWidth="1"/>
    <col min="2" max="2" width="12.7109375" style="0" bestFit="1" customWidth="1"/>
    <col min="3" max="3" width="43.28125" style="0" bestFit="1" customWidth="1"/>
    <col min="7" max="7" width="17.421875" style="0" hidden="1" customWidth="1"/>
    <col min="9" max="9" width="14.28125" style="235" hidden="1" customWidth="1"/>
  </cols>
  <sheetData>
    <row r="9" ht="13.5" thickBot="1"/>
    <row r="10" spans="2:3" ht="13.5" thickBot="1">
      <c r="B10" s="14" t="s">
        <v>238</v>
      </c>
      <c r="C10" s="120">
        <f>3-D23+D16</f>
        <v>3</v>
      </c>
    </row>
    <row r="11" ht="13.5" thickBot="1"/>
    <row r="12" ht="13.5" thickBot="1">
      <c r="D12" s="14" t="s">
        <v>30</v>
      </c>
    </row>
    <row r="13" spans="2:9" ht="13.5" thickBot="1">
      <c r="B13" s="14" t="s">
        <v>231</v>
      </c>
      <c r="C13" s="60"/>
      <c r="D13" s="243">
        <f>coutdesavantage(C13)</f>
        <v>0</v>
      </c>
      <c r="G13" s="8" t="s">
        <v>232</v>
      </c>
      <c r="I13" s="236" t="s">
        <v>236</v>
      </c>
    </row>
    <row r="14" spans="3:9" ht="13.5" thickBot="1">
      <c r="C14" s="60"/>
      <c r="D14" s="243">
        <f>coutdesavantage(C14)</f>
        <v>0</v>
      </c>
      <c r="G14" t="s">
        <v>488</v>
      </c>
      <c r="I14" s="237" t="s">
        <v>284</v>
      </c>
    </row>
    <row r="15" spans="3:9" ht="13.5" thickBot="1">
      <c r="C15" s="60"/>
      <c r="D15" s="243">
        <f>coutdesavantage(C15)</f>
        <v>0</v>
      </c>
      <c r="G15" t="s">
        <v>564</v>
      </c>
      <c r="I15" s="237" t="s">
        <v>285</v>
      </c>
    </row>
    <row r="16" spans="3:9" ht="13.5" thickBot="1">
      <c r="C16" s="151" t="s">
        <v>9</v>
      </c>
      <c r="D16" s="123">
        <f>D13+D14+D15</f>
        <v>0</v>
      </c>
      <c r="G16" t="s">
        <v>563</v>
      </c>
      <c r="I16" s="237" t="s">
        <v>286</v>
      </c>
    </row>
    <row r="17" spans="3:9" ht="13.5" thickBot="1">
      <c r="C17" s="156"/>
      <c r="D17" s="14" t="s">
        <v>30</v>
      </c>
      <c r="G17" t="s">
        <v>565</v>
      </c>
      <c r="I17" s="237" t="s">
        <v>287</v>
      </c>
    </row>
    <row r="18" spans="2:9" ht="13.5" thickBot="1">
      <c r="B18" s="14" t="s">
        <v>234</v>
      </c>
      <c r="C18" s="60"/>
      <c r="D18" s="243">
        <f>coutavantage(C18)</f>
        <v>0</v>
      </c>
      <c r="G18" t="s">
        <v>562</v>
      </c>
      <c r="I18" s="237" t="s">
        <v>288</v>
      </c>
    </row>
    <row r="19" spans="3:9" ht="13.5" thickBot="1">
      <c r="C19" s="238"/>
      <c r="D19" s="243">
        <f>coutavantage(C19)</f>
        <v>0</v>
      </c>
      <c r="G19" t="s">
        <v>566</v>
      </c>
      <c r="I19" s="237" t="s">
        <v>289</v>
      </c>
    </row>
    <row r="20" spans="3:9" ht="13.5" thickBot="1">
      <c r="C20" s="60"/>
      <c r="D20" s="243">
        <f>coutavantage(C20)</f>
        <v>0</v>
      </c>
      <c r="G20" t="s">
        <v>567</v>
      </c>
      <c r="I20" s="237" t="s">
        <v>290</v>
      </c>
    </row>
    <row r="21" spans="3:9" ht="13.5" thickBot="1">
      <c r="C21" s="60"/>
      <c r="D21" s="243">
        <f>coutavantage(C21)</f>
        <v>0</v>
      </c>
      <c r="G21" t="s">
        <v>568</v>
      </c>
      <c r="I21" s="237" t="s">
        <v>291</v>
      </c>
    </row>
    <row r="22" spans="3:9" ht="13.5" thickBot="1">
      <c r="C22" s="60"/>
      <c r="D22" s="243">
        <f>coutavantage(C22)</f>
        <v>0</v>
      </c>
      <c r="G22" t="s">
        <v>489</v>
      </c>
      <c r="I22" s="237" t="s">
        <v>292</v>
      </c>
    </row>
    <row r="23" spans="3:9" ht="13.5" thickBot="1">
      <c r="C23" s="151" t="s">
        <v>9</v>
      </c>
      <c r="D23" s="123">
        <f>D18+D19+D20+D21+D22</f>
        <v>0</v>
      </c>
      <c r="G23" t="s">
        <v>569</v>
      </c>
      <c r="I23" s="237" t="s">
        <v>293</v>
      </c>
    </row>
    <row r="24" spans="7:9" ht="12.75">
      <c r="G24" t="s">
        <v>490</v>
      </c>
      <c r="I24" s="237" t="s">
        <v>294</v>
      </c>
    </row>
    <row r="25" spans="7:9" ht="12.75">
      <c r="G25" t="s">
        <v>491</v>
      </c>
      <c r="I25" s="237" t="s">
        <v>295</v>
      </c>
    </row>
    <row r="26" spans="1:9" ht="13.5" hidden="1" thickBot="1">
      <c r="A26" s="157"/>
      <c r="B26" s="157"/>
      <c r="C26" s="157"/>
      <c r="G26" t="s">
        <v>492</v>
      </c>
      <c r="I26" s="237" t="s">
        <v>296</v>
      </c>
    </row>
    <row r="27" spans="1:9" ht="13.5" hidden="1" thickBot="1">
      <c r="A27" s="164" t="s">
        <v>367</v>
      </c>
      <c r="B27" s="120">
        <f>IF($C$18=$I14,1,0)+IF($C$19=$I14,1,0)+IF($C$20=$I14,1,0)+IF($C$21=$I14,1,0)+IF($C$22=$I14,1,0)+IF($C$13=$G14,-2,0)+IF($C$14=$G14,-2,0)+IF($C$15=$G14,-2,0)</f>
        <v>0</v>
      </c>
      <c r="C27" s="164" t="s">
        <v>292</v>
      </c>
      <c r="D27" s="120">
        <f>IF(AND(OR(C18=I22,C19=I22,C20=I22,C21=I22,C22=I22),(BASE!C9&lt;9)),(9-BASE!C9),0)</f>
        <v>0</v>
      </c>
      <c r="G27" t="s">
        <v>493</v>
      </c>
      <c r="I27" s="237" t="s">
        <v>297</v>
      </c>
    </row>
    <row r="28" spans="1:9" ht="13.5" hidden="1" thickBot="1">
      <c r="A28" s="165" t="s">
        <v>285</v>
      </c>
      <c r="B28" s="120">
        <f>IF($C$18=$I15,1,0)+IF($C$19=$I15,1,0)+IF($C$20=$I15,1,0)+IF($C$21=$I15,1,0)+IF($C$22=$I15,1,0)+IF($C$13=$G15,-2,0)+IF($C$14=$G15,-2,0)+IF($C$15=$G15,-2,0)</f>
        <v>0</v>
      </c>
      <c r="C28" s="165" t="s">
        <v>293</v>
      </c>
      <c r="D28" s="120">
        <f>IF(AND(OR(C19=I23,C20=I23,C21=I23,C22=I23,C18=I23),(BASE!C8&lt;9)),(9-BASE!C8),0)</f>
        <v>0</v>
      </c>
      <c r="G28" t="s">
        <v>494</v>
      </c>
      <c r="I28" s="237" t="s">
        <v>298</v>
      </c>
    </row>
    <row r="29" spans="1:9" ht="13.5" hidden="1" thickBot="1">
      <c r="A29" s="164" t="s">
        <v>286</v>
      </c>
      <c r="B29" s="120">
        <f aca="true" t="shared" si="0" ref="B29:B34">IF($C$18=$I16,1,0)+IF($C$19=$I16,1,0)+IF($C$20=$I16,1,0)+IF($C$21=$I16,1,0)+IF($C$22=$I16,1,0)+IF($C$13=$G16,-2,0)+IF($C$14=$G16,-2,0)+IF($C$15=$G16,-2,0)</f>
        <v>0</v>
      </c>
      <c r="C29" s="165" t="s">
        <v>294</v>
      </c>
      <c r="D29" s="120">
        <f>IF(AND(OR(C20=I24,C21=I24,C22=I24,C18=I24,C19=I24),(BASE!C7&lt;9)),(9-BASE!C7),0)</f>
        <v>0</v>
      </c>
      <c r="G29" t="s">
        <v>495</v>
      </c>
      <c r="I29" s="237" t="s">
        <v>299</v>
      </c>
    </row>
    <row r="30" spans="1:9" ht="13.5" hidden="1" thickBot="1">
      <c r="A30" s="165" t="s">
        <v>287</v>
      </c>
      <c r="B30" s="120">
        <f t="shared" si="0"/>
        <v>0</v>
      </c>
      <c r="C30" s="165" t="s">
        <v>295</v>
      </c>
      <c r="D30" s="120">
        <f>IF(AND(OR(C21=I25,C22=I25,C18=I25,C19=I25,C20=I25),(BASE!C10&lt;9)),(9-BASE!C10),0)</f>
        <v>0</v>
      </c>
      <c r="G30" t="s">
        <v>496</v>
      </c>
      <c r="I30" s="237" t="s">
        <v>300</v>
      </c>
    </row>
    <row r="31" spans="1:9" ht="13.5" hidden="1" thickBot="1">
      <c r="A31" s="165" t="s">
        <v>288</v>
      </c>
      <c r="B31" s="120">
        <f t="shared" si="0"/>
        <v>0</v>
      </c>
      <c r="C31" s="165" t="s">
        <v>296</v>
      </c>
      <c r="D31" s="120">
        <f>IF(AND(OR(C22=I26,C18=I26,C19=I26,C20=I26,C21=I26),(BASE!C11&lt;9)),(9-BASE!C11),0)</f>
        <v>0</v>
      </c>
      <c r="G31" t="s">
        <v>497</v>
      </c>
      <c r="I31" s="237" t="s">
        <v>309</v>
      </c>
    </row>
    <row r="32" spans="1:9" s="45" customFormat="1" ht="12" customHeight="1" hidden="1" thickBot="1">
      <c r="A32" s="165" t="s">
        <v>289</v>
      </c>
      <c r="B32" s="120">
        <f t="shared" si="0"/>
        <v>0</v>
      </c>
      <c r="C32" s="165" t="s">
        <v>297</v>
      </c>
      <c r="D32" s="120">
        <f>IF(AND(OR(C22=I27,C18=I27,C19=I27,C20=I27,C21=I27),(BASE!C14&lt;9)),(9-BASE!C14),0)</f>
        <v>0</v>
      </c>
      <c r="G32" s="45" t="s">
        <v>577</v>
      </c>
      <c r="I32" s="237" t="s">
        <v>301</v>
      </c>
    </row>
    <row r="33" spans="1:9" ht="13.5" hidden="1" thickBot="1">
      <c r="A33" s="165" t="s">
        <v>290</v>
      </c>
      <c r="B33" s="120">
        <f t="shared" si="0"/>
        <v>0</v>
      </c>
      <c r="C33" s="165" t="s">
        <v>298</v>
      </c>
      <c r="D33" s="120">
        <f>IF(AND(OR(C18=I28,C19=I28,C20=I28,C21=I28,C22=I28),(BASE!C13&lt;9)),(9-BASE!C13),0)</f>
        <v>0</v>
      </c>
      <c r="G33" s="45" t="s">
        <v>498</v>
      </c>
      <c r="I33" s="237" t="s">
        <v>302</v>
      </c>
    </row>
    <row r="34" spans="1:9" ht="13.5" hidden="1" thickBot="1">
      <c r="A34" s="165" t="s">
        <v>291</v>
      </c>
      <c r="B34" s="120">
        <f t="shared" si="0"/>
        <v>0</v>
      </c>
      <c r="C34" s="165" t="s">
        <v>299</v>
      </c>
      <c r="D34" s="120">
        <f>IF(AND(OR(C18=I29,C19=I29,C20=I29,C21=I29,C22=I29),(BASE!C12&lt;9)),(9-BASE!C12),0)</f>
        <v>0</v>
      </c>
      <c r="G34" s="45" t="s">
        <v>499</v>
      </c>
      <c r="I34" s="237" t="s">
        <v>310</v>
      </c>
    </row>
    <row r="35" spans="1:9" ht="13.5" hidden="1" thickBot="1">
      <c r="A35" s="157"/>
      <c r="B35" s="156"/>
      <c r="C35" s="156"/>
      <c r="G35" s="45" t="s">
        <v>500</v>
      </c>
      <c r="I35" s="237" t="s">
        <v>303</v>
      </c>
    </row>
    <row r="36" spans="1:9" ht="13.5" hidden="1" thickBot="1">
      <c r="A36" s="166" t="s">
        <v>300</v>
      </c>
      <c r="B36" s="41">
        <f>IF(C18=I30,1,0)+IF(C19=I30,1,0)+IF(C20=I30,1,0)+IF(C21=I30,1,0)+IF(C22=I30,1,0)</f>
        <v>0</v>
      </c>
      <c r="C36" s="92">
        <f>IF(B36&gt;0,25,0)</f>
        <v>0</v>
      </c>
      <c r="G36" s="45" t="s">
        <v>501</v>
      </c>
      <c r="I36" s="237" t="s">
        <v>304</v>
      </c>
    </row>
    <row r="37" spans="1:9" ht="13.5" hidden="1" thickBot="1">
      <c r="A37" s="166" t="s">
        <v>309</v>
      </c>
      <c r="B37" s="61">
        <f>IF(C19=I31,1,0)+IF(C20=I31,1,0)+IF(C21=I31,1,0)+IF(C22=I31,1,0)+IF(C18=I31,1,0)</f>
        <v>0</v>
      </c>
      <c r="C37" s="92">
        <f>IF(B37&gt;0,50,0)</f>
        <v>0</v>
      </c>
      <c r="G37" s="45" t="s">
        <v>502</v>
      </c>
      <c r="I37" s="237" t="s">
        <v>311</v>
      </c>
    </row>
    <row r="38" spans="1:9" ht="13.5" hidden="1" thickBot="1">
      <c r="A38" s="166" t="s">
        <v>302</v>
      </c>
      <c r="B38" s="41">
        <f>IF(C20=I33,1,0)+IF(C21=I33,1,0)+IF(C22=I33,1,0)+IF(C18=I33,1,0)+IF(C19=I33,1,0)</f>
        <v>0</v>
      </c>
      <c r="C38" s="92">
        <f>IF(B38&gt;0,25,0)</f>
        <v>0</v>
      </c>
      <c r="G38" s="45" t="s">
        <v>503</v>
      </c>
      <c r="I38" s="237" t="s">
        <v>305</v>
      </c>
    </row>
    <row r="39" spans="1:9" ht="13.5" hidden="1" thickBot="1">
      <c r="A39" s="168" t="s">
        <v>310</v>
      </c>
      <c r="B39" s="41">
        <f>IF(C21=I34,1,0)+IF(C22=I34,1,0)+IF(C18=I34,1,0)+IF(C19=I34,1,0)+IF(C20=I34,1,0)</f>
        <v>0</v>
      </c>
      <c r="C39" s="92">
        <f>IF(B39&gt;0,50,0)</f>
        <v>0</v>
      </c>
      <c r="G39" s="45" t="s">
        <v>233</v>
      </c>
      <c r="I39" s="237" t="s">
        <v>307</v>
      </c>
    </row>
    <row r="40" spans="1:9" ht="13.5" hidden="1" thickBot="1">
      <c r="A40" s="167" t="s">
        <v>304</v>
      </c>
      <c r="B40" s="41">
        <f>IF(C22=I36,1,0)+IF(C18=I36,1,0)+IF(C19=I36,1,0)+IF(C20=I36,1,0)+IF(C21=I36,1,0)</f>
        <v>0</v>
      </c>
      <c r="C40" s="92">
        <f>IF(B40&gt;0,25,0)</f>
        <v>0</v>
      </c>
      <c r="G40" s="45" t="s">
        <v>504</v>
      </c>
      <c r="I40" s="237" t="s">
        <v>308</v>
      </c>
    </row>
    <row r="41" spans="1:9" ht="13.5" hidden="1" thickBot="1">
      <c r="A41" s="166" t="s">
        <v>311</v>
      </c>
      <c r="B41" s="41">
        <f>IF(C18=I37,1,0)+IF(C19=I37,1,0)+IF(C20=I37,1,0)+IF(C21=I37,1,0)+IF(C22=I37,1,0)</f>
        <v>0</v>
      </c>
      <c r="C41" s="92">
        <f>IF(B41&gt;0,50,0)</f>
        <v>0</v>
      </c>
      <c r="G41" s="45" t="s">
        <v>235</v>
      </c>
      <c r="I41" s="237" t="s">
        <v>306</v>
      </c>
    </row>
    <row r="42" spans="7:9" ht="13.5" hidden="1" thickBot="1">
      <c r="G42" s="45" t="s">
        <v>505</v>
      </c>
      <c r="I42" s="237" t="s">
        <v>312</v>
      </c>
    </row>
    <row r="43" spans="1:9" ht="13.5" hidden="1" thickBot="1">
      <c r="A43" s="164" t="s">
        <v>315</v>
      </c>
      <c r="B43" s="41">
        <f>IF(C20=I45,1,0)+IF(C21=I45,1,0)+IF(C22=I45,1,0)+IF(C18=I45,1,0)+IF(C19=I45,1,0)</f>
        <v>0</v>
      </c>
      <c r="C43" s="164" t="s">
        <v>447</v>
      </c>
      <c r="D43" s="61">
        <f>IF(OR($C$20=I64,$C$21=I64,$C$22=I64,$C$18=I64,$C$19=I64),25,0)+IF(OR($C$20=I65,$C$21=I65,$C$22=I65,$C$18=I65,$C$19=I65),45,0)+IF(OR($C$20=I66,$C$21=I66,$C$22=I66,$C$18=I66,$C$19=I66),60,0)+IF(OR(C13=G43,C14=G43,C15=G43),-30,0)+IF(OR(C13=G44,C14=G44,C15=G44),-50,0)</f>
        <v>0</v>
      </c>
      <c r="G43" s="45" t="s">
        <v>506</v>
      </c>
      <c r="I43" s="237" t="s">
        <v>313</v>
      </c>
    </row>
    <row r="44" spans="1:9" ht="13.5" hidden="1" thickBot="1">
      <c r="A44" s="163" t="s">
        <v>237</v>
      </c>
      <c r="B44" s="41">
        <f>IF(C21=I47,1,0)+IF(C22=I47,1,0)+IF(C18=I47,1,0)+IF(C19=I47,1,0)+IF(C20=I47,1,0)</f>
        <v>0</v>
      </c>
      <c r="C44" s="164" t="s">
        <v>336</v>
      </c>
      <c r="D44" s="61">
        <f>IF(OR($C$20=I67,$C$21=I67,$C$22=I67,$C$18=I67,$C$19=I67),5,0)</f>
        <v>0</v>
      </c>
      <c r="G44" s="45" t="s">
        <v>507</v>
      </c>
      <c r="I44" s="237" t="s">
        <v>314</v>
      </c>
    </row>
    <row r="45" spans="1:9" ht="13.5" hidden="1" thickBot="1">
      <c r="A45" s="156"/>
      <c r="C45" s="164" t="s">
        <v>448</v>
      </c>
      <c r="D45" s="61">
        <f>IF(OR($C$20=I79,$C$21=I79,$C$22=I79,$C$18=I79,$C$19=I79),3,0)+IF(OR($C$20=I80,$C$21=I80,$C$22=I80,$C$18=I80,$C$19=I80),6,0)+IF(OR($C$20=I81,$C$21=I81,$C$22=I81,$C$18=I81,$C$19=I81),9,0)</f>
        <v>0</v>
      </c>
      <c r="G45" s="45" t="s">
        <v>508</v>
      </c>
      <c r="I45" s="237" t="s">
        <v>315</v>
      </c>
    </row>
    <row r="46" spans="1:9" ht="13.5" hidden="1" thickBot="1">
      <c r="A46" s="164" t="s">
        <v>415</v>
      </c>
      <c r="B46" s="41">
        <f>IF(C18=I50,1,0)+IF(C19=I50,1,0)+IF(C20=I50,1,0)+IF(C21=I50,1,0)+IF(C22=I50,1,0)+IF(C19=I51,2,0)+IF(C20=I51,2,0)+IF(C21=I51,2,0)+IF(C22=I51,2,0)+IF(C18=I51,2,0)</f>
        <v>0</v>
      </c>
      <c r="C46" s="163" t="s">
        <v>450</v>
      </c>
      <c r="D46" s="61">
        <f>IF(OR($C$20=I85,$C$21=I85,$C$22=I85,$C$18=I85,$C$19=I85),IF('Module Martial'!A49=1,2,IF((10-BASE!E7&gt;=2),2,IF(10-BASE!E7&gt;=1,1,0))),0)</f>
        <v>0</v>
      </c>
      <c r="G46" s="45" t="s">
        <v>509</v>
      </c>
      <c r="I46" s="237" t="s">
        <v>316</v>
      </c>
    </row>
    <row r="47" spans="1:9" ht="13.5" hidden="1" thickBot="1">
      <c r="A47" s="118"/>
      <c r="B47" s="47"/>
      <c r="C47" s="163" t="s">
        <v>452</v>
      </c>
      <c r="D47" s="61">
        <f>IF(OR($C$20=I82,$C$21=I82,$C$22=I82,$C$18=I82,$C$19=I82),50,0)+IF(OR($C$20=I83,$C$21=I83,$C$22=I83,$C$18=I83,$C$19=I83),100,0)+IF(OR($C$20=I84,$C$21=I84,$C$22=I84,$C$18=I84,$C$19=I84),150,0)</f>
        <v>0</v>
      </c>
      <c r="G47" s="45" t="s">
        <v>510</v>
      </c>
      <c r="I47" s="237" t="s">
        <v>237</v>
      </c>
    </row>
    <row r="48" spans="1:9" ht="13.5" hidden="1" thickBot="1">
      <c r="A48" s="164" t="s">
        <v>432</v>
      </c>
      <c r="B48" s="61">
        <f>IF(OR(C18=I76,C19=I76,C20=I76,C21=I76,C22=I76),40,0)+IF(OR(C18=I77,C19=I76,C20=I77,C21=I76,C22=I77),80,0)+IF(OR(C18=I78,C19=I78,C20=I78,C21=I78,C22=I78),120,0)</f>
        <v>0</v>
      </c>
      <c r="G48" s="45" t="s">
        <v>511</v>
      </c>
      <c r="I48" s="237" t="s">
        <v>317</v>
      </c>
    </row>
    <row r="49" spans="1:9" ht="13.5" hidden="1" thickBot="1">
      <c r="A49" s="156"/>
      <c r="C49" s="163" t="s">
        <v>469</v>
      </c>
      <c r="D49" s="61">
        <f>1+IF(OR($C$20=I98,$C$21=I98,$C$22=I98,$C$18=I98,$C$19=I98),1,0)+IF(OR($C$20=I99,$C$21=I99,$C$22=I99,$C$18=I99,$C$19=I99),2,0)+IF(OR($C$20=I100,$C$21=I100,$C$22=I100,$C$18=I100,$C$19=I100),3,0)</f>
        <v>1</v>
      </c>
      <c r="G49" s="45" t="s">
        <v>512</v>
      </c>
      <c r="I49" s="237" t="s">
        <v>318</v>
      </c>
    </row>
    <row r="50" spans="1:9" ht="13.5" hidden="1" thickBot="1">
      <c r="A50" s="164" t="s">
        <v>322</v>
      </c>
      <c r="B50" s="119">
        <f>IF(OR($C$20=I53,$C$21=I53,$C$22=I53,$C$18=I53,$C$19=I53),1,0)</f>
        <v>0</v>
      </c>
      <c r="C50" s="239" t="s">
        <v>458</v>
      </c>
      <c r="D50" s="68">
        <f>IF(OR($C$20=I102,$C$21=I102,$C$22=I102,$C$18=I102,$C$19=I102),40,0)</f>
        <v>0</v>
      </c>
      <c r="G50" s="45" t="s">
        <v>513</v>
      </c>
      <c r="I50" s="237" t="s">
        <v>319</v>
      </c>
    </row>
    <row r="51" spans="1:9" ht="13.5" hidden="1" thickBot="1">
      <c r="A51" s="156"/>
      <c r="C51" s="240" t="s">
        <v>459</v>
      </c>
      <c r="D51" s="69">
        <f aca="true" t="shared" si="1" ref="D51:D60">IF(OR($C$20=I103,$C$21=I103,$C$22=I103,$C$18=I103,$C$19=I103),40,0)</f>
        <v>0</v>
      </c>
      <c r="G51" s="45" t="s">
        <v>514</v>
      </c>
      <c r="I51" s="237" t="s">
        <v>320</v>
      </c>
    </row>
    <row r="52" spans="1:9" ht="13.5" hidden="1" thickBot="1">
      <c r="A52" s="164" t="s">
        <v>579</v>
      </c>
      <c r="B52" s="119">
        <f>IF(OR($C$20=I56,$C$21=I56,$C$22=I56,$C$18=I56,$C$19=I56),1,0)</f>
        <v>0</v>
      </c>
      <c r="C52" s="240" t="s">
        <v>460</v>
      </c>
      <c r="D52" s="69">
        <f t="shared" si="1"/>
        <v>0</v>
      </c>
      <c r="G52" s="45" t="s">
        <v>515</v>
      </c>
      <c r="I52" s="237" t="s">
        <v>321</v>
      </c>
    </row>
    <row r="53" spans="1:9" ht="13.5" hidden="1" thickBot="1">
      <c r="A53" s="156"/>
      <c r="C53" s="240" t="s">
        <v>461</v>
      </c>
      <c r="D53" s="69">
        <f t="shared" si="1"/>
        <v>0</v>
      </c>
      <c r="G53" s="45" t="s">
        <v>516</v>
      </c>
      <c r="I53" s="237" t="s">
        <v>322</v>
      </c>
    </row>
    <row r="54" spans="1:9" ht="13.5" hidden="1" thickBot="1">
      <c r="A54" s="164" t="s">
        <v>580</v>
      </c>
      <c r="B54" s="119">
        <f>IF(OR($C$20=I57,$C$21=I57,$C$22=I57,$C$18=I57,$C$19=I57),1,0)+IF(OR($C$20=I58,$C$21=I58,$C$22=I58,$C$18=I58,$C$19=I58),2,0)+IF(OR($C$20=I59,$C$21=I59,$C$22=I59,$C$18=I59,$C$19=I59),3,0)</f>
        <v>0</v>
      </c>
      <c r="C54" s="240" t="s">
        <v>462</v>
      </c>
      <c r="D54" s="69">
        <f t="shared" si="1"/>
        <v>0</v>
      </c>
      <c r="G54" s="45" t="s">
        <v>517</v>
      </c>
      <c r="I54" s="237" t="s">
        <v>323</v>
      </c>
    </row>
    <row r="55" spans="3:9" ht="13.5" hidden="1" thickBot="1">
      <c r="C55" s="240" t="s">
        <v>463</v>
      </c>
      <c r="D55" s="69">
        <f t="shared" si="1"/>
        <v>0</v>
      </c>
      <c r="G55" s="45" t="s">
        <v>518</v>
      </c>
      <c r="I55" s="237" t="s">
        <v>324</v>
      </c>
    </row>
    <row r="56" spans="1:9" ht="13.5" hidden="1" thickBot="1">
      <c r="A56" s="164" t="s">
        <v>581</v>
      </c>
      <c r="B56" s="119">
        <f>IF(OR($C$20=I60,$C$21=I60,$C$22=I60,$C$18=I60,$C$19=I60),5,0)+IF(OR($C$20=I61,$C$21=I61,$C$22=I61,$C$18=I61,$C$19=I61),10,0)</f>
        <v>0</v>
      </c>
      <c r="C56" s="240" t="s">
        <v>464</v>
      </c>
      <c r="D56" s="69">
        <f t="shared" si="1"/>
        <v>0</v>
      </c>
      <c r="G56" s="45" t="s">
        <v>519</v>
      </c>
      <c r="I56" s="237" t="s">
        <v>325</v>
      </c>
    </row>
    <row r="57" spans="1:9" ht="13.5" hidden="1" thickBot="1">
      <c r="A57" s="164" t="s">
        <v>473</v>
      </c>
      <c r="B57" s="61">
        <f>IF(OR($C$20=I113,$C$21=I113,$C$22=I113,$C$18=I113,$C$19=I113),10,0)+IF(OR($C$20=I114,$C$21=I114,$C$22=I114,$C$18=I114,$C$19=I114),20,0)+IF(OR($C$20=I115,$C$21=I115,$C$22=I115,$C$18=I115,$C$19=I115),30,0)</f>
        <v>0</v>
      </c>
      <c r="C57" s="240" t="s">
        <v>465</v>
      </c>
      <c r="D57" s="69">
        <f t="shared" si="1"/>
        <v>0</v>
      </c>
      <c r="G57" s="45" t="s">
        <v>520</v>
      </c>
      <c r="I57" s="237" t="s">
        <v>326</v>
      </c>
    </row>
    <row r="58" spans="3:9" ht="13.5" hidden="1" thickBot="1">
      <c r="C58" s="240" t="s">
        <v>466</v>
      </c>
      <c r="D58" s="69">
        <f t="shared" si="1"/>
        <v>0</v>
      </c>
      <c r="G58" s="45" t="s">
        <v>521</v>
      </c>
      <c r="I58" s="237" t="s">
        <v>327</v>
      </c>
    </row>
    <row r="59" spans="1:9" ht="13.5" hidden="1" thickBot="1">
      <c r="A59" s="164" t="s">
        <v>525</v>
      </c>
      <c r="B59" s="243">
        <f>IF(OR($C$20=I130,$C$21=I130,$C$22=I130,$C$18=I130,$C$19=I130),30,0)+IF(OR($C$13=$G67,$C$14=$G67,$C$15=$G67),-30,0)</f>
        <v>0</v>
      </c>
      <c r="C59" s="240" t="s">
        <v>467</v>
      </c>
      <c r="D59" s="69">
        <f t="shared" si="1"/>
        <v>0</v>
      </c>
      <c r="G59" s="45" t="s">
        <v>522</v>
      </c>
      <c r="I59" s="237" t="s">
        <v>328</v>
      </c>
    </row>
    <row r="60" spans="1:9" ht="13.5" hidden="1" thickBot="1">
      <c r="A60" s="163" t="s">
        <v>570</v>
      </c>
      <c r="B60" s="243">
        <f>1+IF(OR($C$20=I131,$C$21=I131,$C$22=I131,$C$18=I131,$C$19=I131),1,0)+IF(OR($C$13=$G70,$C$14=$G70,$C$15=$G70),-1,0)</f>
        <v>1</v>
      </c>
      <c r="C60" s="165" t="s">
        <v>468</v>
      </c>
      <c r="D60" s="59">
        <f t="shared" si="1"/>
        <v>0</v>
      </c>
      <c r="G60" s="45" t="s">
        <v>523</v>
      </c>
      <c r="I60" s="237" t="s">
        <v>329</v>
      </c>
    </row>
    <row r="61" spans="1:9" ht="13.5" hidden="1" thickBot="1">
      <c r="A61" s="163" t="s">
        <v>571</v>
      </c>
      <c r="B61" s="243">
        <f>IF(OR($C$20=I133,$C$21=I133,$C$22=I133,$C$18=I133,$C$19=I133),10,0)+IF(OR($C$20=I134,$C$21=I134,$C$22=I134,$C$18=I134,$C$19=I134),20,0)+IF(OR($C$20=I135,$C$21=I135,$C$22=I135,$C$18=I135,$C$19=I135),30,0)</f>
        <v>0</v>
      </c>
      <c r="C61" s="163" t="s">
        <v>572</v>
      </c>
      <c r="D61" s="243">
        <f>IF(OR($C$20=I145,$C$21=I145,$C$22=I145,$C$18=I145,$C$19=I145),5,0)</f>
        <v>0</v>
      </c>
      <c r="G61" s="45" t="s">
        <v>524</v>
      </c>
      <c r="I61" s="237" t="s">
        <v>330</v>
      </c>
    </row>
    <row r="62" spans="1:9" ht="13.5" hidden="1" thickBot="1">
      <c r="A62" s="163" t="s">
        <v>574</v>
      </c>
      <c r="B62" s="244">
        <f>IF(OR($C$20=I151,$C$21=I151,$C$22=I151,$C$18=I151,$C$19=I151),1,0)</f>
        <v>0</v>
      </c>
      <c r="C62" s="163" t="s">
        <v>573</v>
      </c>
      <c r="D62" s="243">
        <f>IF(OR($C$20=I147,$C$21=I147,$C$22=I147,$C$18=I147,$C$19=I147),5,0)+IF(OR($C$20=I148,$C$21=I148,$C$22=I148,$C$18=I148,$C$19=I148),10,0)+IF(OR($C$20=I149,$C$21=I149,$C$22=I149,$C$18=I149,$C$19=I149),15,0)</f>
        <v>0</v>
      </c>
      <c r="G62" s="45" t="s">
        <v>550</v>
      </c>
      <c r="I62" s="237" t="s">
        <v>331</v>
      </c>
    </row>
    <row r="63" spans="1:9" ht="13.5" hidden="1" thickBot="1">
      <c r="A63" s="163" t="s">
        <v>575</v>
      </c>
      <c r="B63" s="243">
        <f>IF(OR($C$20=I152,$C$21=I152,$C$22=I152,$C$18=I152,$C$19=I152),50,0)+IF(OR($C$20=I153,$C$21=I153,$C$22=I153,$C$18=I153,$C$19=I153),100,0)+IF(OR($C$20=I154,$C$21=I154,$C$22=I154,$C$18=I154,$C$19=I154),150,0)</f>
        <v>0</v>
      </c>
      <c r="C63" s="163" t="s">
        <v>569</v>
      </c>
      <c r="D63" s="248">
        <f>1+IF($C$14=$G23,1,0)+IF($C$15=$G23,1,0)+IF($C$13=$G23,1,0)</f>
        <v>1</v>
      </c>
      <c r="G63" s="45" t="s">
        <v>551</v>
      </c>
      <c r="I63" s="237" t="s">
        <v>332</v>
      </c>
    </row>
    <row r="64" spans="1:9" ht="13.5" hidden="1" thickBot="1">
      <c r="A64" s="163" t="s">
        <v>582</v>
      </c>
      <c r="B64" s="248">
        <f>IF($C$14=$G31,1,0)+IF($C$15=$G31,1,0)+IF($C$13=$G31,1,0)</f>
        <v>0</v>
      </c>
      <c r="C64" s="163" t="s">
        <v>576</v>
      </c>
      <c r="D64" s="248">
        <f>1+IF($C$14=$G24,1,0)+IF($C$15=$G24,1,0)+IF($C$13=$G24,1,0)</f>
        <v>1</v>
      </c>
      <c r="G64" s="45" t="s">
        <v>552</v>
      </c>
      <c r="I64" s="237" t="s">
        <v>335</v>
      </c>
    </row>
    <row r="65" spans="1:9" ht="13.5" hidden="1" thickBot="1">
      <c r="A65" s="163" t="s">
        <v>583</v>
      </c>
      <c r="B65" s="248">
        <f>1+IF($C$14=$G54,1,0)+IF($C$15=$G54,1,0)+IF($C$13=$G54,1,0)</f>
        <v>1</v>
      </c>
      <c r="C65" s="163" t="s">
        <v>578</v>
      </c>
      <c r="D65" s="248">
        <f>1+IF($C$14=$G26,1,0)+IF($C$15=$G26,1,0)+IF($C$13=$G26,1,0)</f>
        <v>1</v>
      </c>
      <c r="G65" s="45" t="s">
        <v>553</v>
      </c>
      <c r="I65" s="237" t="s">
        <v>333</v>
      </c>
    </row>
    <row r="66" spans="3:9" ht="13.5" hidden="1" thickBot="1">
      <c r="C66" s="163" t="s">
        <v>496</v>
      </c>
      <c r="D66" s="248">
        <f>1+IF($C$14=$G30,1,0)+IF($C$15=$G30,1,0)+IF($C$13=$G30,1,0)</f>
        <v>1</v>
      </c>
      <c r="G66" s="45" t="s">
        <v>554</v>
      </c>
      <c r="I66" s="237" t="s">
        <v>334</v>
      </c>
    </row>
    <row r="67" spans="7:9" ht="12.75" hidden="1">
      <c r="G67" s="45" t="s">
        <v>555</v>
      </c>
      <c r="I67" s="237" t="s">
        <v>336</v>
      </c>
    </row>
    <row r="68" spans="7:9" ht="12.75" hidden="1">
      <c r="G68" s="45" t="s">
        <v>556</v>
      </c>
      <c r="I68" s="237" t="s">
        <v>337</v>
      </c>
    </row>
    <row r="69" spans="7:9" ht="12.75" hidden="1">
      <c r="G69" s="45" t="s">
        <v>557</v>
      </c>
      <c r="I69" s="237" t="s">
        <v>338</v>
      </c>
    </row>
    <row r="70" spans="7:9" ht="12.75" hidden="1">
      <c r="G70" s="45" t="s">
        <v>558</v>
      </c>
      <c r="I70" s="237" t="s">
        <v>339</v>
      </c>
    </row>
    <row r="71" ht="12.75" hidden="1">
      <c r="I71" s="237" t="s">
        <v>340</v>
      </c>
    </row>
    <row r="72" ht="12.75" hidden="1">
      <c r="I72" s="237" t="s">
        <v>341</v>
      </c>
    </row>
    <row r="73" ht="12.75">
      <c r="I73" s="237" t="s">
        <v>342</v>
      </c>
    </row>
    <row r="74" ht="12.75">
      <c r="I74" s="237" t="s">
        <v>343</v>
      </c>
    </row>
    <row r="75" ht="12.75">
      <c r="I75" s="237" t="s">
        <v>344</v>
      </c>
    </row>
    <row r="76" ht="12.75">
      <c r="I76" s="237" t="s">
        <v>345</v>
      </c>
    </row>
    <row r="77" ht="12.75">
      <c r="I77" s="237" t="s">
        <v>346</v>
      </c>
    </row>
    <row r="78" ht="12.75">
      <c r="I78" s="237" t="s">
        <v>347</v>
      </c>
    </row>
    <row r="79" ht="12.75">
      <c r="I79" s="237" t="s">
        <v>348</v>
      </c>
    </row>
    <row r="80" ht="12.75">
      <c r="I80" s="237" t="s">
        <v>349</v>
      </c>
    </row>
    <row r="81" ht="12.75">
      <c r="I81" s="237" t="s">
        <v>350</v>
      </c>
    </row>
    <row r="82" ht="12.75">
      <c r="I82" s="237" t="s">
        <v>351</v>
      </c>
    </row>
    <row r="83" ht="12.75">
      <c r="I83" s="237" t="s">
        <v>352</v>
      </c>
    </row>
    <row r="84" ht="12.75">
      <c r="I84" s="237" t="s">
        <v>353</v>
      </c>
    </row>
    <row r="85" ht="12.75">
      <c r="I85" s="237" t="s">
        <v>354</v>
      </c>
    </row>
    <row r="86" ht="12.75">
      <c r="I86" s="237" t="s">
        <v>355</v>
      </c>
    </row>
    <row r="87" ht="12.75">
      <c r="I87" s="237" t="s">
        <v>356</v>
      </c>
    </row>
    <row r="88" ht="12.75">
      <c r="I88" s="237" t="s">
        <v>357</v>
      </c>
    </row>
    <row r="89" ht="12.75">
      <c r="I89" s="237" t="s">
        <v>358</v>
      </c>
    </row>
    <row r="90" ht="12.75">
      <c r="I90" s="237" t="s">
        <v>359</v>
      </c>
    </row>
    <row r="91" ht="12.75">
      <c r="I91" s="237" t="s">
        <v>360</v>
      </c>
    </row>
    <row r="92" ht="12.75">
      <c r="I92" s="237" t="s">
        <v>361</v>
      </c>
    </row>
    <row r="93" ht="12.75">
      <c r="I93" s="237" t="s">
        <v>362</v>
      </c>
    </row>
    <row r="94" ht="12.75">
      <c r="I94" s="237" t="s">
        <v>363</v>
      </c>
    </row>
    <row r="95" ht="12.75">
      <c r="I95" s="237" t="s">
        <v>364</v>
      </c>
    </row>
    <row r="96" ht="12.75">
      <c r="I96" s="237" t="s">
        <v>365</v>
      </c>
    </row>
    <row r="97" ht="12.75">
      <c r="I97" s="237" t="s">
        <v>366</v>
      </c>
    </row>
    <row r="98" ht="12.75">
      <c r="I98" s="237" t="s">
        <v>454</v>
      </c>
    </row>
    <row r="99" ht="12.75">
      <c r="I99" s="237" t="s">
        <v>455</v>
      </c>
    </row>
    <row r="100" ht="12.75">
      <c r="I100" s="237" t="s">
        <v>456</v>
      </c>
    </row>
    <row r="101" ht="12.75">
      <c r="I101" s="237" t="s">
        <v>457</v>
      </c>
    </row>
    <row r="102" ht="12.75">
      <c r="I102" s="237" t="s">
        <v>458</v>
      </c>
    </row>
    <row r="103" ht="12.75">
      <c r="I103" s="237" t="s">
        <v>459</v>
      </c>
    </row>
    <row r="104" ht="12.75">
      <c r="I104" s="237" t="s">
        <v>460</v>
      </c>
    </row>
    <row r="105" ht="12.75">
      <c r="I105" s="237" t="s">
        <v>461</v>
      </c>
    </row>
    <row r="106" ht="12.75">
      <c r="I106" s="237" t="s">
        <v>462</v>
      </c>
    </row>
    <row r="107" ht="12.75">
      <c r="I107" s="237" t="s">
        <v>463</v>
      </c>
    </row>
    <row r="108" ht="12.75">
      <c r="I108" s="237" t="s">
        <v>464</v>
      </c>
    </row>
    <row r="109" ht="12.75">
      <c r="I109" s="237" t="s">
        <v>465</v>
      </c>
    </row>
    <row r="110" ht="12.75">
      <c r="I110" s="237" t="s">
        <v>466</v>
      </c>
    </row>
    <row r="111" ht="12.75">
      <c r="I111" s="237" t="s">
        <v>467</v>
      </c>
    </row>
    <row r="112" ht="12.75">
      <c r="I112" s="237" t="s">
        <v>468</v>
      </c>
    </row>
    <row r="113" ht="12.75">
      <c r="I113" s="235" t="s">
        <v>470</v>
      </c>
    </row>
    <row r="114" ht="12.75">
      <c r="I114" s="235" t="s">
        <v>471</v>
      </c>
    </row>
    <row r="115" ht="12.75">
      <c r="I115" s="235" t="s">
        <v>472</v>
      </c>
    </row>
    <row r="116" ht="12.75">
      <c r="I116" s="235" t="s">
        <v>474</v>
      </c>
    </row>
    <row r="117" ht="12.75">
      <c r="I117" s="235" t="s">
        <v>475</v>
      </c>
    </row>
    <row r="118" ht="12.75">
      <c r="I118" s="235" t="s">
        <v>476</v>
      </c>
    </row>
    <row r="119" ht="12.75">
      <c r="I119" s="235" t="s">
        <v>477</v>
      </c>
    </row>
    <row r="120" ht="12.75">
      <c r="I120" s="235" t="s">
        <v>478</v>
      </c>
    </row>
    <row r="121" ht="12.75">
      <c r="I121" s="235" t="s">
        <v>479</v>
      </c>
    </row>
    <row r="122" ht="12.75">
      <c r="I122" s="235" t="s">
        <v>480</v>
      </c>
    </row>
    <row r="123" ht="12.75">
      <c r="I123" s="235" t="s">
        <v>481</v>
      </c>
    </row>
    <row r="124" ht="12.75">
      <c r="I124" s="235" t="s">
        <v>482</v>
      </c>
    </row>
    <row r="125" ht="12.75">
      <c r="I125" s="235" t="s">
        <v>483</v>
      </c>
    </row>
    <row r="126" ht="12.75">
      <c r="I126" s="235" t="s">
        <v>484</v>
      </c>
    </row>
    <row r="127" ht="12.75">
      <c r="I127" s="235" t="s">
        <v>485</v>
      </c>
    </row>
    <row r="128" ht="12.75">
      <c r="I128" s="235" t="s">
        <v>486</v>
      </c>
    </row>
    <row r="129" ht="12.75">
      <c r="I129" s="235" t="s">
        <v>487</v>
      </c>
    </row>
    <row r="130" ht="12.75">
      <c r="I130" s="235" t="s">
        <v>525</v>
      </c>
    </row>
    <row r="131" ht="12.75">
      <c r="I131" s="235" t="s">
        <v>526</v>
      </c>
    </row>
    <row r="132" ht="12.75">
      <c r="I132" s="235" t="s">
        <v>527</v>
      </c>
    </row>
    <row r="133" ht="12.75">
      <c r="I133" s="235" t="s">
        <v>542</v>
      </c>
    </row>
    <row r="134" ht="12.75">
      <c r="I134" s="235" t="s">
        <v>543</v>
      </c>
    </row>
    <row r="135" ht="12.75">
      <c r="I135" s="235" t="s">
        <v>544</v>
      </c>
    </row>
    <row r="136" ht="12.75">
      <c r="I136" s="235" t="s">
        <v>528</v>
      </c>
    </row>
    <row r="137" ht="12.75">
      <c r="I137" s="235" t="s">
        <v>545</v>
      </c>
    </row>
    <row r="138" ht="12.75">
      <c r="I138" s="235" t="s">
        <v>546</v>
      </c>
    </row>
    <row r="139" ht="12.75">
      <c r="I139" s="235" t="s">
        <v>547</v>
      </c>
    </row>
    <row r="140" ht="12.75">
      <c r="I140" s="235" t="s">
        <v>529</v>
      </c>
    </row>
    <row r="141" ht="12.75">
      <c r="I141" s="235" t="s">
        <v>530</v>
      </c>
    </row>
    <row r="142" ht="12.75">
      <c r="I142" s="235" t="s">
        <v>531</v>
      </c>
    </row>
    <row r="143" ht="12.75">
      <c r="I143" s="235" t="s">
        <v>532</v>
      </c>
    </row>
    <row r="144" ht="12.75">
      <c r="I144" s="235" t="s">
        <v>533</v>
      </c>
    </row>
    <row r="145" ht="12.75">
      <c r="I145" s="235" t="s">
        <v>534</v>
      </c>
    </row>
    <row r="146" ht="12.75">
      <c r="I146" s="235" t="s">
        <v>535</v>
      </c>
    </row>
    <row r="147" ht="12.75">
      <c r="I147" s="235" t="s">
        <v>559</v>
      </c>
    </row>
    <row r="148" ht="12.75">
      <c r="I148" s="235" t="s">
        <v>560</v>
      </c>
    </row>
    <row r="149" ht="12.75">
      <c r="I149" s="235" t="s">
        <v>561</v>
      </c>
    </row>
    <row r="150" ht="12.75">
      <c r="I150" s="235" t="s">
        <v>536</v>
      </c>
    </row>
    <row r="151" ht="12.75">
      <c r="I151" s="235" t="s">
        <v>537</v>
      </c>
    </row>
    <row r="152" ht="12.75">
      <c r="I152" s="235" t="s">
        <v>538</v>
      </c>
    </row>
    <row r="153" ht="12.75">
      <c r="I153" s="235" t="s">
        <v>539</v>
      </c>
    </row>
    <row r="154" ht="12.75">
      <c r="I154" s="235" t="s">
        <v>540</v>
      </c>
    </row>
    <row r="155" ht="12.75">
      <c r="I155" s="235" t="s">
        <v>541</v>
      </c>
    </row>
    <row r="156" ht="12.75">
      <c r="I156" s="235" t="s">
        <v>548</v>
      </c>
    </row>
    <row r="157" ht="12.75">
      <c r="I157" s="235" t="s">
        <v>549</v>
      </c>
    </row>
  </sheetData>
  <sheetProtection/>
  <dataValidations count="2">
    <dataValidation type="list" allowBlank="1" showInputMessage="1" showErrorMessage="1" sqref="C13:C15">
      <formula1>$G$14:$G$73</formula1>
    </dataValidation>
    <dataValidation type="list" allowBlank="1" showInputMessage="1" showErrorMessage="1" sqref="C18:C22">
      <formula1>$I$14:$I$161</formula1>
    </dataValidation>
  </dataValidation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/>
  <dimension ref="A2:AV86"/>
  <sheetViews>
    <sheetView zoomScalePageLayoutView="0" workbookViewId="0" topLeftCell="A59">
      <selection activeCell="A7" sqref="A7"/>
    </sheetView>
  </sheetViews>
  <sheetFormatPr defaultColWidth="11.421875" defaultRowHeight="12.75"/>
  <cols>
    <col min="1" max="1" width="5.00390625" style="170" bestFit="1" customWidth="1"/>
    <col min="2" max="2" width="18.7109375" style="242" customWidth="1"/>
    <col min="3" max="3" width="21.421875" style="0" bestFit="1" customWidth="1"/>
    <col min="4" max="4" width="6.57421875" style="0" bestFit="1" customWidth="1"/>
    <col min="5" max="5" width="7.57421875" style="0" bestFit="1" customWidth="1"/>
    <col min="6" max="6" width="6.57421875" style="0" customWidth="1"/>
    <col min="7" max="7" width="15.28125" style="0" customWidth="1"/>
    <col min="8" max="8" width="6.57421875" style="0" customWidth="1"/>
    <col min="9" max="9" width="7.140625" style="0" bestFit="1" customWidth="1"/>
    <col min="10" max="10" width="6.57421875" style="0" customWidth="1"/>
    <col min="11" max="11" width="11.00390625" style="0" bestFit="1" customWidth="1"/>
    <col min="12" max="12" width="6.57421875" style="0" customWidth="1"/>
    <col min="13" max="13" width="12.140625" style="0" customWidth="1"/>
    <col min="14" max="14" width="6.57421875" style="0" customWidth="1"/>
    <col min="15" max="15" width="14.00390625" style="0" customWidth="1"/>
    <col min="16" max="16" width="6.57421875" style="0" customWidth="1"/>
    <col min="17" max="17" width="5.140625" style="0" bestFit="1" customWidth="1"/>
    <col min="18" max="18" width="6.57421875" style="0" customWidth="1"/>
    <col min="19" max="19" width="10.421875" style="0" customWidth="1"/>
    <col min="20" max="22" width="6.57421875" style="0" customWidth="1"/>
    <col min="23" max="23" width="6.28125" style="0" customWidth="1"/>
    <col min="24" max="24" width="6.57421875" style="0" customWidth="1"/>
    <col min="25" max="25" width="8.7109375" style="0" customWidth="1"/>
    <col min="26" max="26" width="6.57421875" style="0" customWidth="1"/>
    <col min="27" max="27" width="6.8515625" style="0" customWidth="1"/>
    <col min="28" max="28" width="6.57421875" style="0" customWidth="1"/>
    <col min="29" max="29" width="14.57421875" style="0" customWidth="1"/>
    <col min="30" max="30" width="6.57421875" style="0" customWidth="1"/>
    <col min="31" max="31" width="10.7109375" style="0" customWidth="1"/>
    <col min="32" max="32" width="6.57421875" style="0" customWidth="1"/>
    <col min="33" max="33" width="16.140625" style="0" customWidth="1"/>
    <col min="34" max="34" width="6.57421875" style="0" customWidth="1"/>
    <col min="36" max="36" width="6.57421875" style="0" customWidth="1"/>
    <col min="37" max="37" width="18.421875" style="0" customWidth="1"/>
    <col min="38" max="38" width="6.57421875" style="0" customWidth="1"/>
    <col min="39" max="39" width="9.57421875" style="0" customWidth="1"/>
    <col min="40" max="40" width="6.57421875" style="0" customWidth="1"/>
    <col min="41" max="41" width="16.8515625" style="0" customWidth="1"/>
    <col min="42" max="42" width="6.57421875" style="0" customWidth="1"/>
    <col min="43" max="43" width="16.8515625" style="0" customWidth="1"/>
    <col min="44" max="44" width="6.57421875" style="0" customWidth="1"/>
    <col min="45" max="45" width="17.421875" style="0" customWidth="1"/>
    <col min="46" max="46" width="6.57421875" style="0" customWidth="1"/>
    <col min="47" max="47" width="21.421875" style="0" customWidth="1"/>
    <col min="48" max="48" width="6.57421875" style="0" customWidth="1"/>
  </cols>
  <sheetData>
    <row r="2" spans="44:46" ht="12.75">
      <c r="AR2" s="2"/>
      <c r="AS2" s="2"/>
      <c r="AT2" s="2"/>
    </row>
    <row r="3" spans="44:46" ht="12.75">
      <c r="AR3" s="2"/>
      <c r="AS3" s="85"/>
      <c r="AT3" s="2"/>
    </row>
    <row r="4" spans="44:46" ht="12.75">
      <c r="AR4" s="2"/>
      <c r="AS4" s="2"/>
      <c r="AT4" s="2"/>
    </row>
    <row r="5" spans="44:46" ht="12.75">
      <c r="AR5" s="2"/>
      <c r="AS5" s="2"/>
      <c r="AT5" s="2"/>
    </row>
    <row r="6" ht="13.5" thickBot="1">
      <c r="D6" s="37"/>
    </row>
    <row r="7" spans="2:4" ht="13.5" thickBot="1">
      <c r="B7" s="241" t="s">
        <v>378</v>
      </c>
      <c r="C7" s="61" t="str">
        <f>BASE!C2</f>
        <v>Touche à tout</v>
      </c>
      <c r="D7" s="37"/>
    </row>
    <row r="8" spans="2:47" ht="13.5" thickBot="1">
      <c r="B8" s="274" t="s">
        <v>368</v>
      </c>
      <c r="C8" s="61" t="str">
        <f>selectclasse(BASE!C2)</f>
        <v>AQ8</v>
      </c>
      <c r="D8" s="37"/>
      <c r="E8" s="152" t="s">
        <v>12</v>
      </c>
      <c r="G8" s="139" t="s">
        <v>279</v>
      </c>
      <c r="I8" s="152" t="s">
        <v>370</v>
      </c>
      <c r="K8" s="152" t="s">
        <v>371</v>
      </c>
      <c r="M8" s="152" t="s">
        <v>372</v>
      </c>
      <c r="O8" s="152" t="s">
        <v>373</v>
      </c>
      <c r="Q8" s="152" t="s">
        <v>91</v>
      </c>
      <c r="S8" s="113" t="s">
        <v>374</v>
      </c>
      <c r="U8" s="152" t="s">
        <v>375</v>
      </c>
      <c r="W8" s="152" t="s">
        <v>376</v>
      </c>
      <c r="Y8" s="113" t="s">
        <v>377</v>
      </c>
      <c r="AA8" s="113" t="s">
        <v>92</v>
      </c>
      <c r="AC8" s="113" t="s">
        <v>403</v>
      </c>
      <c r="AE8" s="152" t="s">
        <v>404</v>
      </c>
      <c r="AG8" s="152" t="s">
        <v>405</v>
      </c>
      <c r="AI8" s="152" t="s">
        <v>406</v>
      </c>
      <c r="AK8" s="152" t="s">
        <v>407</v>
      </c>
      <c r="AM8" s="152" t="s">
        <v>408</v>
      </c>
      <c r="AO8" s="152" t="s">
        <v>409</v>
      </c>
      <c r="AQ8" s="152" t="s">
        <v>410</v>
      </c>
      <c r="AS8" s="96" t="s">
        <v>411</v>
      </c>
      <c r="AU8" s="113" t="s">
        <v>412</v>
      </c>
    </row>
    <row r="9" ht="13.5" thickBot="1"/>
    <row r="10" spans="1:48" ht="13.5" thickBot="1">
      <c r="A10" s="171" t="s">
        <v>19</v>
      </c>
      <c r="B10" s="172" t="s">
        <v>120</v>
      </c>
      <c r="C10" s="13" t="s">
        <v>121</v>
      </c>
      <c r="D10" s="13" t="s">
        <v>11</v>
      </c>
      <c r="E10" s="13" t="s">
        <v>121</v>
      </c>
      <c r="F10" s="13" t="s">
        <v>11</v>
      </c>
      <c r="G10" s="104" t="s">
        <v>369</v>
      </c>
      <c r="H10" s="104" t="s">
        <v>11</v>
      </c>
      <c r="I10" s="104" t="s">
        <v>369</v>
      </c>
      <c r="J10" s="104" t="s">
        <v>11</v>
      </c>
      <c r="K10" s="104" t="s">
        <v>369</v>
      </c>
      <c r="L10" s="104" t="s">
        <v>11</v>
      </c>
      <c r="M10" s="104" t="s">
        <v>369</v>
      </c>
      <c r="N10" s="104" t="s">
        <v>11</v>
      </c>
      <c r="O10" s="104" t="s">
        <v>369</v>
      </c>
      <c r="P10" s="104" t="s">
        <v>11</v>
      </c>
      <c r="Q10" s="104" t="s">
        <v>369</v>
      </c>
      <c r="R10" s="104" t="s">
        <v>11</v>
      </c>
      <c r="S10" s="104" t="s">
        <v>369</v>
      </c>
      <c r="T10" s="104" t="s">
        <v>11</v>
      </c>
      <c r="U10" s="104" t="s">
        <v>369</v>
      </c>
      <c r="V10" s="104" t="s">
        <v>11</v>
      </c>
      <c r="W10" s="104" t="s">
        <v>369</v>
      </c>
      <c r="X10" s="104" t="s">
        <v>11</v>
      </c>
      <c r="Y10" s="104" t="s">
        <v>369</v>
      </c>
      <c r="Z10" s="104" t="s">
        <v>11</v>
      </c>
      <c r="AA10" s="104" t="s">
        <v>369</v>
      </c>
      <c r="AB10" s="104" t="s">
        <v>11</v>
      </c>
      <c r="AC10" s="104" t="s">
        <v>369</v>
      </c>
      <c r="AD10" s="104" t="s">
        <v>11</v>
      </c>
      <c r="AE10" s="104" t="s">
        <v>369</v>
      </c>
      <c r="AF10" s="104" t="s">
        <v>11</v>
      </c>
      <c r="AG10" s="104" t="s">
        <v>369</v>
      </c>
      <c r="AH10" s="104" t="s">
        <v>11</v>
      </c>
      <c r="AI10" s="104" t="s">
        <v>369</v>
      </c>
      <c r="AJ10" s="104" t="s">
        <v>11</v>
      </c>
      <c r="AK10" s="104" t="s">
        <v>369</v>
      </c>
      <c r="AL10" s="104" t="s">
        <v>11</v>
      </c>
      <c r="AM10" s="104" t="s">
        <v>369</v>
      </c>
      <c r="AN10" s="104" t="s">
        <v>11</v>
      </c>
      <c r="AO10" s="104" t="s">
        <v>369</v>
      </c>
      <c r="AP10" s="104" t="s">
        <v>11</v>
      </c>
      <c r="AQ10" s="104" t="s">
        <v>369</v>
      </c>
      <c r="AR10" s="104" t="s">
        <v>11</v>
      </c>
      <c r="AS10" s="104" t="s">
        <v>369</v>
      </c>
      <c r="AT10" s="104" t="s">
        <v>11</v>
      </c>
      <c r="AU10" s="104" t="s">
        <v>369</v>
      </c>
      <c r="AV10" s="104" t="s">
        <v>11</v>
      </c>
    </row>
    <row r="11" spans="1:48" ht="12.75">
      <c r="A11" s="173" t="s">
        <v>1</v>
      </c>
      <c r="B11" s="174" t="s">
        <v>23</v>
      </c>
      <c r="C11" s="11">
        <f ca="1">OFFSET(INDIRECT($C$8),3,0)</f>
        <v>2</v>
      </c>
      <c r="D11" s="11">
        <f ca="1">OFFSET(INDIRECT($C$8),3,1)</f>
        <v>0</v>
      </c>
      <c r="E11" s="57">
        <v>2</v>
      </c>
      <c r="F11" s="57">
        <v>0</v>
      </c>
      <c r="G11" s="57">
        <v>2</v>
      </c>
      <c r="H11" s="57">
        <v>10</v>
      </c>
      <c r="I11" s="57">
        <v>2</v>
      </c>
      <c r="J11" s="57"/>
      <c r="K11" s="57">
        <v>2</v>
      </c>
      <c r="L11" s="57"/>
      <c r="M11" s="57">
        <v>2</v>
      </c>
      <c r="N11" s="57"/>
      <c r="O11" s="57">
        <v>2</v>
      </c>
      <c r="P11" s="57"/>
      <c r="Q11" s="57">
        <v>2</v>
      </c>
      <c r="R11" s="57"/>
      <c r="S11" s="57">
        <v>2</v>
      </c>
      <c r="T11" s="57"/>
      <c r="U11" s="57">
        <v>2</v>
      </c>
      <c r="V11" s="57"/>
      <c r="W11" s="57">
        <v>1</v>
      </c>
      <c r="X11" s="57"/>
      <c r="Y11" s="57">
        <v>2</v>
      </c>
      <c r="Z11" s="57"/>
      <c r="AA11" s="57">
        <v>2</v>
      </c>
      <c r="AB11" s="57"/>
      <c r="AC11" s="57">
        <v>2</v>
      </c>
      <c r="AD11" s="57"/>
      <c r="AE11" s="57">
        <v>2</v>
      </c>
      <c r="AF11" s="57"/>
      <c r="AG11" s="57">
        <v>2</v>
      </c>
      <c r="AH11" s="57"/>
      <c r="AI11" s="57">
        <v>2</v>
      </c>
      <c r="AJ11" s="57"/>
      <c r="AK11" s="57">
        <v>2</v>
      </c>
      <c r="AL11" s="57"/>
      <c r="AM11" s="57">
        <v>2</v>
      </c>
      <c r="AN11" s="57"/>
      <c r="AO11" s="57">
        <v>2</v>
      </c>
      <c r="AP11" s="57"/>
      <c r="AQ11" s="57">
        <v>2</v>
      </c>
      <c r="AR11" s="57"/>
      <c r="AS11" s="57">
        <v>2</v>
      </c>
      <c r="AT11" s="57"/>
      <c r="AU11" s="57">
        <v>2</v>
      </c>
      <c r="AV11" s="57"/>
    </row>
    <row r="12" spans="1:48" ht="12.75">
      <c r="A12" s="173" t="s">
        <v>1</v>
      </c>
      <c r="B12" s="174" t="s">
        <v>24</v>
      </c>
      <c r="C12" s="11">
        <f ca="1">OFFSET(INDIRECT($C$8),4,0)</f>
        <v>2</v>
      </c>
      <c r="D12" s="11">
        <f ca="1">OFFSET(INDIRECT($C$8),4,1)</f>
        <v>0</v>
      </c>
      <c r="E12" s="22">
        <v>2</v>
      </c>
      <c r="F12" s="22">
        <v>0</v>
      </c>
      <c r="G12" s="22">
        <v>2</v>
      </c>
      <c r="H12" s="22">
        <v>10</v>
      </c>
      <c r="I12" s="22">
        <v>2</v>
      </c>
      <c r="J12" s="22"/>
      <c r="K12" s="22">
        <v>2</v>
      </c>
      <c r="L12" s="22"/>
      <c r="M12" s="22">
        <v>2</v>
      </c>
      <c r="N12" s="22"/>
      <c r="O12" s="22">
        <v>2</v>
      </c>
      <c r="P12" s="22"/>
      <c r="Q12" s="22">
        <v>2</v>
      </c>
      <c r="R12" s="22"/>
      <c r="S12" s="22">
        <v>2</v>
      </c>
      <c r="T12" s="22"/>
      <c r="U12" s="22">
        <v>2</v>
      </c>
      <c r="V12" s="22"/>
      <c r="W12" s="22">
        <v>1</v>
      </c>
      <c r="X12" s="22"/>
      <c r="Y12" s="22">
        <v>2</v>
      </c>
      <c r="Z12" s="22"/>
      <c r="AA12" s="22">
        <v>2</v>
      </c>
      <c r="AB12" s="22"/>
      <c r="AC12" s="22">
        <v>2</v>
      </c>
      <c r="AD12" s="22"/>
      <c r="AE12" s="22">
        <v>2</v>
      </c>
      <c r="AF12" s="22"/>
      <c r="AG12" s="22">
        <v>2</v>
      </c>
      <c r="AH12" s="22"/>
      <c r="AI12" s="22">
        <v>2</v>
      </c>
      <c r="AJ12" s="22"/>
      <c r="AK12" s="22">
        <v>2</v>
      </c>
      <c r="AL12" s="22"/>
      <c r="AM12" s="22">
        <v>2</v>
      </c>
      <c r="AN12" s="22"/>
      <c r="AO12" s="22">
        <v>2</v>
      </c>
      <c r="AP12" s="22"/>
      <c r="AQ12" s="22">
        <v>2</v>
      </c>
      <c r="AR12" s="22"/>
      <c r="AS12" s="22">
        <v>2</v>
      </c>
      <c r="AT12" s="22"/>
      <c r="AU12" s="22">
        <v>2</v>
      </c>
      <c r="AV12" s="22"/>
    </row>
    <row r="13" spans="1:48" ht="12.75">
      <c r="A13" s="173" t="s">
        <v>1</v>
      </c>
      <c r="B13" s="174" t="s">
        <v>122</v>
      </c>
      <c r="C13" s="11">
        <f ca="1">OFFSET(INDIRECT($C$8),5,0)</f>
        <v>2</v>
      </c>
      <c r="D13" s="11">
        <f ca="1">OFFSET(INDIRECT($C$8),5,1)</f>
        <v>0</v>
      </c>
      <c r="E13" s="22">
        <v>2</v>
      </c>
      <c r="F13" s="22">
        <v>0</v>
      </c>
      <c r="G13" s="22">
        <v>2</v>
      </c>
      <c r="H13" s="22">
        <v>0</v>
      </c>
      <c r="I13" s="22">
        <v>2</v>
      </c>
      <c r="J13" s="22"/>
      <c r="K13" s="22">
        <v>2</v>
      </c>
      <c r="L13" s="22"/>
      <c r="M13" s="22">
        <v>2</v>
      </c>
      <c r="N13" s="22"/>
      <c r="O13" s="22">
        <v>2</v>
      </c>
      <c r="P13" s="22"/>
      <c r="Q13" s="22">
        <v>2</v>
      </c>
      <c r="R13" s="22"/>
      <c r="S13" s="22">
        <v>2</v>
      </c>
      <c r="T13" s="22"/>
      <c r="U13" s="22">
        <v>2</v>
      </c>
      <c r="V13" s="22"/>
      <c r="W13" s="22">
        <v>1</v>
      </c>
      <c r="X13" s="22"/>
      <c r="Y13" s="22">
        <v>2</v>
      </c>
      <c r="Z13" s="22"/>
      <c r="AA13" s="22">
        <v>2</v>
      </c>
      <c r="AB13" s="22"/>
      <c r="AC13" s="22">
        <v>2</v>
      </c>
      <c r="AD13" s="22"/>
      <c r="AE13" s="22">
        <v>2</v>
      </c>
      <c r="AF13" s="22"/>
      <c r="AG13" s="22">
        <v>2</v>
      </c>
      <c r="AH13" s="22"/>
      <c r="AI13" s="22">
        <v>2</v>
      </c>
      <c r="AJ13" s="22"/>
      <c r="AK13" s="22">
        <v>2</v>
      </c>
      <c r="AL13" s="22"/>
      <c r="AM13" s="22">
        <v>2</v>
      </c>
      <c r="AN13" s="22"/>
      <c r="AO13" s="22">
        <v>2</v>
      </c>
      <c r="AP13" s="22"/>
      <c r="AQ13" s="22">
        <v>2</v>
      </c>
      <c r="AR13" s="22"/>
      <c r="AS13" s="22">
        <v>2</v>
      </c>
      <c r="AT13" s="22"/>
      <c r="AU13" s="22">
        <v>2</v>
      </c>
      <c r="AV13" s="22"/>
    </row>
    <row r="14" spans="1:48" ht="12.75">
      <c r="A14" s="173" t="s">
        <v>1</v>
      </c>
      <c r="B14" s="174" t="s">
        <v>25</v>
      </c>
      <c r="C14" s="11">
        <f ca="1">OFFSET(INDIRECT($C$8),6,0)</f>
        <v>2</v>
      </c>
      <c r="D14" s="11">
        <f ca="1">OFFSET(INDIRECT($C$8),6,1)</f>
        <v>0</v>
      </c>
      <c r="E14" s="22">
        <v>2</v>
      </c>
      <c r="F14" s="22">
        <v>0</v>
      </c>
      <c r="G14" s="22">
        <v>2</v>
      </c>
      <c r="H14" s="22">
        <v>0</v>
      </c>
      <c r="I14" s="22">
        <v>2</v>
      </c>
      <c r="J14" s="22"/>
      <c r="K14" s="22">
        <v>2</v>
      </c>
      <c r="L14" s="22"/>
      <c r="M14" s="22">
        <v>2</v>
      </c>
      <c r="N14" s="22"/>
      <c r="O14" s="22">
        <v>2</v>
      </c>
      <c r="P14" s="22"/>
      <c r="Q14" s="22">
        <v>2</v>
      </c>
      <c r="R14" s="22"/>
      <c r="S14" s="22">
        <v>2</v>
      </c>
      <c r="T14" s="22"/>
      <c r="U14" s="22">
        <v>2</v>
      </c>
      <c r="V14" s="22"/>
      <c r="W14" s="22">
        <v>1</v>
      </c>
      <c r="X14" s="22"/>
      <c r="Y14" s="22">
        <v>2</v>
      </c>
      <c r="Z14" s="22"/>
      <c r="AA14" s="22">
        <v>2</v>
      </c>
      <c r="AB14" s="22"/>
      <c r="AC14" s="22">
        <v>2</v>
      </c>
      <c r="AD14" s="22"/>
      <c r="AE14" s="22">
        <v>2</v>
      </c>
      <c r="AF14" s="22"/>
      <c r="AG14" s="22">
        <v>2</v>
      </c>
      <c r="AH14" s="22"/>
      <c r="AI14" s="22">
        <v>2</v>
      </c>
      <c r="AJ14" s="22"/>
      <c r="AK14" s="22">
        <v>2</v>
      </c>
      <c r="AL14" s="22"/>
      <c r="AM14" s="22">
        <v>2</v>
      </c>
      <c r="AN14" s="22"/>
      <c r="AO14" s="22">
        <v>2</v>
      </c>
      <c r="AP14" s="22"/>
      <c r="AQ14" s="22">
        <v>2</v>
      </c>
      <c r="AR14" s="22"/>
      <c r="AS14" s="22">
        <v>2</v>
      </c>
      <c r="AT14" s="22"/>
      <c r="AU14" s="22">
        <v>2</v>
      </c>
      <c r="AV14" s="22"/>
    </row>
    <row r="15" spans="1:48" ht="12.75">
      <c r="A15" s="173" t="s">
        <v>1</v>
      </c>
      <c r="B15" s="174" t="s">
        <v>36</v>
      </c>
      <c r="C15" s="11">
        <f ca="1">OFFSET(INDIRECT($C$8),7,0)</f>
        <v>2</v>
      </c>
      <c r="D15" s="11">
        <f ca="1">OFFSET(INDIRECT($C$8),7,1)</f>
        <v>0</v>
      </c>
      <c r="E15" s="22">
        <v>2</v>
      </c>
      <c r="F15" s="22">
        <v>0</v>
      </c>
      <c r="G15" s="22">
        <v>2</v>
      </c>
      <c r="H15" s="22">
        <v>0</v>
      </c>
      <c r="I15" s="22">
        <v>2</v>
      </c>
      <c r="J15" s="22"/>
      <c r="K15" s="22">
        <v>2</v>
      </c>
      <c r="L15" s="22"/>
      <c r="M15" s="22">
        <v>2</v>
      </c>
      <c r="N15" s="22"/>
      <c r="O15" s="22">
        <v>2</v>
      </c>
      <c r="P15" s="22"/>
      <c r="Q15" s="22">
        <v>2</v>
      </c>
      <c r="R15" s="22"/>
      <c r="S15" s="22">
        <v>2</v>
      </c>
      <c r="T15" s="22"/>
      <c r="U15" s="22">
        <v>2</v>
      </c>
      <c r="V15" s="22"/>
      <c r="W15" s="22">
        <v>1</v>
      </c>
      <c r="X15" s="22"/>
      <c r="Y15" s="22">
        <v>2</v>
      </c>
      <c r="Z15" s="22"/>
      <c r="AA15" s="22">
        <v>2</v>
      </c>
      <c r="AB15" s="22"/>
      <c r="AC15" s="22">
        <v>2</v>
      </c>
      <c r="AD15" s="22"/>
      <c r="AE15" s="22">
        <v>2</v>
      </c>
      <c r="AF15" s="22"/>
      <c r="AG15" s="22">
        <v>2</v>
      </c>
      <c r="AH15" s="22"/>
      <c r="AI15" s="22">
        <v>2</v>
      </c>
      <c r="AJ15" s="22"/>
      <c r="AK15" s="22">
        <v>2</v>
      </c>
      <c r="AL15" s="22"/>
      <c r="AM15" s="22">
        <v>2</v>
      </c>
      <c r="AN15" s="22"/>
      <c r="AO15" s="22">
        <v>2</v>
      </c>
      <c r="AP15" s="22"/>
      <c r="AQ15" s="22">
        <v>2</v>
      </c>
      <c r="AR15" s="22"/>
      <c r="AS15" s="22">
        <v>2</v>
      </c>
      <c r="AT15" s="22"/>
      <c r="AU15" s="22">
        <v>2</v>
      </c>
      <c r="AV15" s="22"/>
    </row>
    <row r="16" spans="1:48" ht="13.5" thickBot="1">
      <c r="A16" s="175" t="s">
        <v>0</v>
      </c>
      <c r="B16" s="176" t="s">
        <v>26</v>
      </c>
      <c r="C16" s="11">
        <f ca="1">OFFSET(INDIRECT($C$8),8,0)</f>
        <v>2</v>
      </c>
      <c r="D16" s="11">
        <f ca="1">OFFSET(INDIRECT($C$8),8,1)</f>
        <v>0</v>
      </c>
      <c r="E16" s="23">
        <v>2</v>
      </c>
      <c r="F16" s="23">
        <v>0</v>
      </c>
      <c r="G16" s="23">
        <v>2</v>
      </c>
      <c r="H16" s="23">
        <v>10</v>
      </c>
      <c r="I16" s="23">
        <v>2</v>
      </c>
      <c r="J16" s="23"/>
      <c r="K16" s="23">
        <v>2</v>
      </c>
      <c r="L16" s="23"/>
      <c r="M16" s="23">
        <v>2</v>
      </c>
      <c r="N16" s="23"/>
      <c r="O16" s="23">
        <v>2</v>
      </c>
      <c r="P16" s="23"/>
      <c r="Q16" s="23">
        <v>2</v>
      </c>
      <c r="R16" s="23"/>
      <c r="S16" s="23">
        <v>2</v>
      </c>
      <c r="T16" s="23"/>
      <c r="U16" s="23">
        <v>2</v>
      </c>
      <c r="V16" s="23"/>
      <c r="W16" s="23">
        <v>1</v>
      </c>
      <c r="X16" s="23"/>
      <c r="Y16" s="23">
        <v>2</v>
      </c>
      <c r="Z16" s="23"/>
      <c r="AA16" s="23">
        <v>2</v>
      </c>
      <c r="AB16" s="23"/>
      <c r="AC16" s="23">
        <v>2</v>
      </c>
      <c r="AD16" s="23"/>
      <c r="AE16" s="23">
        <v>2</v>
      </c>
      <c r="AF16" s="23"/>
      <c r="AG16" s="23">
        <v>2</v>
      </c>
      <c r="AH16" s="23"/>
      <c r="AI16" s="23">
        <v>2</v>
      </c>
      <c r="AJ16" s="23"/>
      <c r="AK16" s="23">
        <v>2</v>
      </c>
      <c r="AL16" s="23"/>
      <c r="AM16" s="23">
        <v>2</v>
      </c>
      <c r="AN16" s="23"/>
      <c r="AO16" s="23">
        <v>2</v>
      </c>
      <c r="AP16" s="23"/>
      <c r="AQ16" s="23">
        <v>2</v>
      </c>
      <c r="AR16" s="23"/>
      <c r="AS16" s="23">
        <v>2</v>
      </c>
      <c r="AT16" s="23"/>
      <c r="AU16" s="23">
        <v>2</v>
      </c>
      <c r="AV16" s="23"/>
    </row>
    <row r="17" spans="1:48" ht="12.75">
      <c r="A17" s="177" t="s">
        <v>5</v>
      </c>
      <c r="B17" s="178" t="s">
        <v>49</v>
      </c>
      <c r="C17" s="68">
        <f ca="1">OFFSET(INDIRECT($C$8),9,0)</f>
        <v>2</v>
      </c>
      <c r="D17" s="68">
        <f ca="1">OFFSET(INDIRECT($C$8),9,1)</f>
        <v>0</v>
      </c>
      <c r="E17" s="57">
        <v>2</v>
      </c>
      <c r="F17" s="22">
        <v>0</v>
      </c>
      <c r="G17" s="57">
        <v>2</v>
      </c>
      <c r="H17" s="22">
        <v>0</v>
      </c>
      <c r="I17" s="57">
        <v>1</v>
      </c>
      <c r="J17" s="22"/>
      <c r="K17" s="57">
        <v>2</v>
      </c>
      <c r="L17" s="22"/>
      <c r="M17" s="57">
        <v>2</v>
      </c>
      <c r="N17" s="22"/>
      <c r="O17" s="57">
        <v>2</v>
      </c>
      <c r="P17" s="22"/>
      <c r="Q17" s="57">
        <v>2</v>
      </c>
      <c r="R17" s="22"/>
      <c r="S17" s="57">
        <v>1</v>
      </c>
      <c r="T17" s="22">
        <v>10</v>
      </c>
      <c r="U17" s="57">
        <v>2</v>
      </c>
      <c r="V17" s="22">
        <v>10</v>
      </c>
      <c r="W17" s="57">
        <v>2</v>
      </c>
      <c r="X17" s="22">
        <v>5</v>
      </c>
      <c r="Y17" s="57">
        <v>1</v>
      </c>
      <c r="Z17" s="22">
        <v>10</v>
      </c>
      <c r="AA17" s="57">
        <v>2</v>
      </c>
      <c r="AB17" s="22"/>
      <c r="AC17" s="57">
        <v>2</v>
      </c>
      <c r="AD17" s="22"/>
      <c r="AE17" s="57">
        <v>2</v>
      </c>
      <c r="AF17" s="22"/>
      <c r="AG17" s="57">
        <v>2</v>
      </c>
      <c r="AH17" s="22"/>
      <c r="AI17" s="57">
        <v>2</v>
      </c>
      <c r="AJ17" s="22"/>
      <c r="AK17" s="57">
        <v>2</v>
      </c>
      <c r="AL17" s="22"/>
      <c r="AM17" s="57">
        <v>2</v>
      </c>
      <c r="AN17" s="22"/>
      <c r="AO17" s="57">
        <v>2</v>
      </c>
      <c r="AP17" s="22"/>
      <c r="AQ17" s="57">
        <v>2</v>
      </c>
      <c r="AR17" s="22"/>
      <c r="AS17" s="57">
        <v>1</v>
      </c>
      <c r="AT17" s="22"/>
      <c r="AU17" s="57">
        <v>2</v>
      </c>
      <c r="AV17" s="22"/>
    </row>
    <row r="18" spans="1:48" ht="12.75">
      <c r="A18" s="173" t="s">
        <v>5</v>
      </c>
      <c r="B18" s="174" t="s">
        <v>50</v>
      </c>
      <c r="C18" s="69">
        <f ca="1">OFFSET(INDIRECT($C$8),10,0)</f>
        <v>2</v>
      </c>
      <c r="D18" s="69">
        <f ca="1">OFFSET(INDIRECT($C$8),10,1)</f>
        <v>0</v>
      </c>
      <c r="E18" s="22">
        <v>2</v>
      </c>
      <c r="F18" s="22">
        <v>0</v>
      </c>
      <c r="G18" s="22">
        <v>2</v>
      </c>
      <c r="H18" s="22">
        <v>0</v>
      </c>
      <c r="I18" s="22">
        <v>1</v>
      </c>
      <c r="J18" s="22"/>
      <c r="K18" s="22">
        <v>2</v>
      </c>
      <c r="L18" s="22"/>
      <c r="M18" s="22">
        <v>2</v>
      </c>
      <c r="N18" s="22"/>
      <c r="O18" s="22">
        <v>2</v>
      </c>
      <c r="P18" s="22"/>
      <c r="Q18" s="22">
        <v>2</v>
      </c>
      <c r="R18" s="22"/>
      <c r="S18" s="22">
        <v>1</v>
      </c>
      <c r="T18" s="22">
        <v>10</v>
      </c>
      <c r="U18" s="22">
        <v>2</v>
      </c>
      <c r="V18" s="22"/>
      <c r="W18" s="22">
        <v>2</v>
      </c>
      <c r="X18" s="22"/>
      <c r="Y18" s="22">
        <v>1</v>
      </c>
      <c r="Z18" s="22"/>
      <c r="AA18" s="22">
        <v>2</v>
      </c>
      <c r="AB18" s="22"/>
      <c r="AC18" s="22">
        <v>2</v>
      </c>
      <c r="AD18" s="22"/>
      <c r="AE18" s="22">
        <v>2</v>
      </c>
      <c r="AF18" s="22"/>
      <c r="AG18" s="22">
        <v>2</v>
      </c>
      <c r="AH18" s="22"/>
      <c r="AI18" s="22">
        <v>2</v>
      </c>
      <c r="AJ18" s="22"/>
      <c r="AK18" s="22">
        <v>2</v>
      </c>
      <c r="AL18" s="22"/>
      <c r="AM18" s="22">
        <v>2</v>
      </c>
      <c r="AN18" s="22"/>
      <c r="AO18" s="22">
        <v>2</v>
      </c>
      <c r="AP18" s="22"/>
      <c r="AQ18" s="22">
        <v>2</v>
      </c>
      <c r="AR18" s="22"/>
      <c r="AS18" s="22">
        <v>1</v>
      </c>
      <c r="AT18" s="22"/>
      <c r="AU18" s="22">
        <v>2</v>
      </c>
      <c r="AV18" s="22"/>
    </row>
    <row r="19" spans="1:48" ht="13.5" thickBot="1">
      <c r="A19" s="175" t="s">
        <v>5</v>
      </c>
      <c r="B19" s="176" t="s">
        <v>51</v>
      </c>
      <c r="C19" s="59">
        <f ca="1">OFFSET(INDIRECT($C$8),11,0)</f>
        <v>2</v>
      </c>
      <c r="D19" s="59">
        <f ca="1">OFFSET(INDIRECT($C$8),11,1)</f>
        <v>0</v>
      </c>
      <c r="E19" s="23">
        <v>2</v>
      </c>
      <c r="F19" s="23">
        <v>0</v>
      </c>
      <c r="G19" s="23">
        <v>2</v>
      </c>
      <c r="H19" s="23">
        <v>0</v>
      </c>
      <c r="I19" s="23">
        <v>1</v>
      </c>
      <c r="J19" s="23"/>
      <c r="K19" s="23">
        <v>2</v>
      </c>
      <c r="L19" s="23"/>
      <c r="M19" s="23">
        <v>2</v>
      </c>
      <c r="N19" s="23"/>
      <c r="O19" s="23">
        <v>2</v>
      </c>
      <c r="P19" s="23"/>
      <c r="Q19" s="23">
        <v>2</v>
      </c>
      <c r="R19" s="23"/>
      <c r="S19" s="23">
        <v>1</v>
      </c>
      <c r="T19" s="23">
        <v>10</v>
      </c>
      <c r="U19" s="23">
        <v>2</v>
      </c>
      <c r="V19" s="23">
        <v>10</v>
      </c>
      <c r="W19" s="23">
        <v>2</v>
      </c>
      <c r="X19" s="23">
        <v>5</v>
      </c>
      <c r="Y19" s="23">
        <v>1</v>
      </c>
      <c r="Z19" s="23">
        <v>10</v>
      </c>
      <c r="AA19" s="23">
        <v>2</v>
      </c>
      <c r="AB19" s="23"/>
      <c r="AC19" s="23">
        <v>2</v>
      </c>
      <c r="AD19" s="23"/>
      <c r="AE19" s="23">
        <v>2</v>
      </c>
      <c r="AF19" s="23"/>
      <c r="AG19" s="23">
        <v>2</v>
      </c>
      <c r="AH19" s="23"/>
      <c r="AI19" s="23">
        <v>2</v>
      </c>
      <c r="AJ19" s="23"/>
      <c r="AK19" s="23">
        <v>2</v>
      </c>
      <c r="AL19" s="23"/>
      <c r="AM19" s="23">
        <v>2</v>
      </c>
      <c r="AN19" s="23"/>
      <c r="AO19" s="23">
        <v>2</v>
      </c>
      <c r="AP19" s="23"/>
      <c r="AQ19" s="23">
        <v>2</v>
      </c>
      <c r="AR19" s="23"/>
      <c r="AS19" s="23">
        <v>1</v>
      </c>
      <c r="AT19" s="23"/>
      <c r="AU19" s="23">
        <v>2</v>
      </c>
      <c r="AV19" s="23"/>
    </row>
    <row r="20" spans="1:48" ht="12.75">
      <c r="A20" s="177" t="s">
        <v>6</v>
      </c>
      <c r="B20" s="178" t="s">
        <v>123</v>
      </c>
      <c r="C20" s="11">
        <f ca="1">OFFSET(INDIRECT($C$8),12,0)</f>
        <v>2</v>
      </c>
      <c r="D20" s="11">
        <f ca="1">OFFSET(INDIRECT($C$8),12,1)</f>
        <v>0</v>
      </c>
      <c r="E20" s="57">
        <v>2</v>
      </c>
      <c r="F20" s="22">
        <v>0</v>
      </c>
      <c r="G20" s="57">
        <v>2</v>
      </c>
      <c r="H20" s="22">
        <v>0</v>
      </c>
      <c r="I20" s="57">
        <v>2</v>
      </c>
      <c r="J20" s="22"/>
      <c r="K20" s="57">
        <v>1</v>
      </c>
      <c r="L20" s="22"/>
      <c r="M20" s="57">
        <v>1</v>
      </c>
      <c r="N20" s="22"/>
      <c r="O20" s="57">
        <v>2</v>
      </c>
      <c r="P20" s="22"/>
      <c r="Q20" s="57">
        <v>2</v>
      </c>
      <c r="R20" s="22"/>
      <c r="S20" s="57">
        <v>2</v>
      </c>
      <c r="T20" s="22"/>
      <c r="U20" s="57">
        <v>2</v>
      </c>
      <c r="V20" s="22"/>
      <c r="W20" s="57">
        <v>2</v>
      </c>
      <c r="X20" s="22"/>
      <c r="Y20" s="57">
        <v>2</v>
      </c>
      <c r="Z20" s="22">
        <v>10</v>
      </c>
      <c r="AA20" s="57">
        <v>3</v>
      </c>
      <c r="AB20" s="22"/>
      <c r="AC20" s="57">
        <v>2</v>
      </c>
      <c r="AD20" s="22"/>
      <c r="AE20" s="57">
        <v>3</v>
      </c>
      <c r="AF20" s="22"/>
      <c r="AG20" s="57">
        <v>3</v>
      </c>
      <c r="AH20" s="22"/>
      <c r="AI20" s="57">
        <v>3</v>
      </c>
      <c r="AJ20" s="22"/>
      <c r="AK20" s="57">
        <v>2</v>
      </c>
      <c r="AL20" s="22"/>
      <c r="AM20" s="57">
        <v>3</v>
      </c>
      <c r="AN20" s="22"/>
      <c r="AO20" s="57">
        <v>2</v>
      </c>
      <c r="AP20" s="22"/>
      <c r="AQ20" s="57">
        <v>2</v>
      </c>
      <c r="AR20" s="22"/>
      <c r="AS20" s="57">
        <v>2</v>
      </c>
      <c r="AT20" s="22">
        <v>10</v>
      </c>
      <c r="AU20" s="57">
        <v>1</v>
      </c>
      <c r="AV20" s="22"/>
    </row>
    <row r="21" spans="1:48" ht="12.75">
      <c r="A21" s="173" t="s">
        <v>0</v>
      </c>
      <c r="B21" s="174" t="s">
        <v>73</v>
      </c>
      <c r="C21" s="11">
        <f ca="1">OFFSET(INDIRECT($C$8),13,0)</f>
        <v>2</v>
      </c>
      <c r="D21" s="11">
        <f ca="1">OFFSET(INDIRECT($C$8),13,1)</f>
        <v>0</v>
      </c>
      <c r="E21" s="22">
        <v>1</v>
      </c>
      <c r="F21" s="22">
        <v>5</v>
      </c>
      <c r="G21" s="22">
        <v>2</v>
      </c>
      <c r="H21" s="22">
        <v>0</v>
      </c>
      <c r="I21" s="22">
        <v>2</v>
      </c>
      <c r="J21" s="22"/>
      <c r="K21" s="22">
        <v>2</v>
      </c>
      <c r="L21" s="22"/>
      <c r="M21" s="22">
        <v>1</v>
      </c>
      <c r="N21" s="22">
        <v>5</v>
      </c>
      <c r="O21" s="22">
        <v>2</v>
      </c>
      <c r="P21" s="22"/>
      <c r="Q21" s="22">
        <v>2</v>
      </c>
      <c r="R21" s="22"/>
      <c r="S21" s="22">
        <v>2</v>
      </c>
      <c r="T21" s="22"/>
      <c r="U21" s="22">
        <v>2</v>
      </c>
      <c r="V21" s="22"/>
      <c r="W21" s="22">
        <v>2</v>
      </c>
      <c r="X21" s="22"/>
      <c r="Y21" s="22">
        <v>3</v>
      </c>
      <c r="Z21" s="22"/>
      <c r="AA21" s="22">
        <v>3</v>
      </c>
      <c r="AB21" s="22"/>
      <c r="AC21" s="22">
        <v>2</v>
      </c>
      <c r="AD21" s="22"/>
      <c r="AE21" s="22">
        <v>3</v>
      </c>
      <c r="AF21" s="22"/>
      <c r="AG21" s="22">
        <v>3</v>
      </c>
      <c r="AH21" s="22"/>
      <c r="AI21" s="22">
        <v>3</v>
      </c>
      <c r="AJ21" s="22"/>
      <c r="AK21" s="22">
        <v>2</v>
      </c>
      <c r="AL21" s="22"/>
      <c r="AM21" s="22">
        <v>3</v>
      </c>
      <c r="AN21" s="22"/>
      <c r="AO21" s="22">
        <v>2</v>
      </c>
      <c r="AP21" s="22"/>
      <c r="AQ21" s="22">
        <v>2</v>
      </c>
      <c r="AR21" s="22"/>
      <c r="AS21" s="22">
        <v>2</v>
      </c>
      <c r="AT21" s="22"/>
      <c r="AU21" s="22">
        <v>2</v>
      </c>
      <c r="AV21" s="22"/>
    </row>
    <row r="22" spans="1:48" ht="13.5" thickBot="1">
      <c r="A22" s="175" t="s">
        <v>6</v>
      </c>
      <c r="B22" s="176" t="s">
        <v>74</v>
      </c>
      <c r="C22" s="11">
        <f ca="1">OFFSET(INDIRECT($C$8),14,0)</f>
        <v>2</v>
      </c>
      <c r="D22" s="11">
        <f ca="1">OFFSET(INDIRECT($C$8),14,1)</f>
        <v>0</v>
      </c>
      <c r="E22" s="23">
        <v>2</v>
      </c>
      <c r="F22" s="23">
        <v>0</v>
      </c>
      <c r="G22" s="23">
        <v>2</v>
      </c>
      <c r="H22" s="23">
        <v>0</v>
      </c>
      <c r="I22" s="23">
        <v>1</v>
      </c>
      <c r="J22" s="23"/>
      <c r="K22" s="23">
        <v>2</v>
      </c>
      <c r="L22" s="23"/>
      <c r="M22" s="23">
        <v>1</v>
      </c>
      <c r="N22" s="23"/>
      <c r="O22" s="23">
        <v>2</v>
      </c>
      <c r="P22" s="23"/>
      <c r="Q22" s="23">
        <v>2</v>
      </c>
      <c r="R22" s="23"/>
      <c r="S22" s="23">
        <v>2</v>
      </c>
      <c r="T22" s="23"/>
      <c r="U22" s="23">
        <v>2</v>
      </c>
      <c r="V22" s="23"/>
      <c r="W22" s="23">
        <v>2</v>
      </c>
      <c r="X22" s="23"/>
      <c r="Y22" s="23">
        <v>3</v>
      </c>
      <c r="Z22" s="23"/>
      <c r="AA22" s="23">
        <v>3</v>
      </c>
      <c r="AB22" s="23"/>
      <c r="AC22" s="23">
        <v>2</v>
      </c>
      <c r="AD22" s="23"/>
      <c r="AE22" s="23">
        <v>3</v>
      </c>
      <c r="AF22" s="23"/>
      <c r="AG22" s="23">
        <v>3</v>
      </c>
      <c r="AH22" s="23"/>
      <c r="AI22" s="23">
        <v>3</v>
      </c>
      <c r="AJ22" s="23"/>
      <c r="AK22" s="23">
        <v>2</v>
      </c>
      <c r="AL22" s="23"/>
      <c r="AM22" s="23">
        <v>3</v>
      </c>
      <c r="AN22" s="23"/>
      <c r="AO22" s="23">
        <v>2</v>
      </c>
      <c r="AP22" s="23"/>
      <c r="AQ22" s="23">
        <v>2</v>
      </c>
      <c r="AR22" s="23"/>
      <c r="AS22" s="23">
        <v>1</v>
      </c>
      <c r="AT22" s="23"/>
      <c r="AU22" s="23">
        <v>2</v>
      </c>
      <c r="AV22" s="23">
        <v>10</v>
      </c>
    </row>
    <row r="23" spans="1:48" ht="12.75">
      <c r="A23" s="179" t="s">
        <v>4</v>
      </c>
      <c r="B23" s="183" t="s">
        <v>75</v>
      </c>
      <c r="C23" s="68">
        <f ca="1">OFFSET(INDIRECT($C$8),15,0)</f>
        <v>2</v>
      </c>
      <c r="D23" s="68">
        <f ca="1">OFFSET(INDIRECT($C$8),15,1)</f>
        <v>0</v>
      </c>
      <c r="E23" s="57">
        <v>3</v>
      </c>
      <c r="F23" s="22">
        <v>0</v>
      </c>
      <c r="G23" s="57">
        <v>3</v>
      </c>
      <c r="H23" s="22">
        <v>0</v>
      </c>
      <c r="I23" s="57">
        <v>2</v>
      </c>
      <c r="J23" s="22"/>
      <c r="K23" s="57">
        <v>2</v>
      </c>
      <c r="L23" s="22"/>
      <c r="M23" s="57">
        <v>3</v>
      </c>
      <c r="N23" s="22"/>
      <c r="O23" s="57">
        <v>3</v>
      </c>
      <c r="P23" s="22"/>
      <c r="Q23" s="57">
        <v>3</v>
      </c>
      <c r="R23" s="22"/>
      <c r="S23" s="57">
        <v>1</v>
      </c>
      <c r="T23" s="22">
        <v>5</v>
      </c>
      <c r="U23" s="57">
        <v>3</v>
      </c>
      <c r="V23" s="22"/>
      <c r="W23" s="57">
        <v>3</v>
      </c>
      <c r="X23" s="22"/>
      <c r="Y23" s="57">
        <v>3</v>
      </c>
      <c r="Z23" s="22"/>
      <c r="AA23" s="57">
        <v>2</v>
      </c>
      <c r="AB23" s="22"/>
      <c r="AC23" s="57">
        <v>2</v>
      </c>
      <c r="AD23" s="22"/>
      <c r="AE23" s="57">
        <v>2</v>
      </c>
      <c r="AF23" s="22"/>
      <c r="AG23" s="57">
        <v>2</v>
      </c>
      <c r="AH23" s="22"/>
      <c r="AI23" s="57">
        <v>2</v>
      </c>
      <c r="AJ23" s="22"/>
      <c r="AK23" s="57">
        <v>2</v>
      </c>
      <c r="AL23" s="22"/>
      <c r="AM23" s="57">
        <v>2</v>
      </c>
      <c r="AN23" s="22"/>
      <c r="AO23" s="57">
        <v>3</v>
      </c>
      <c r="AP23" s="22"/>
      <c r="AQ23" s="57">
        <v>2</v>
      </c>
      <c r="AR23" s="22"/>
      <c r="AS23" s="57">
        <v>2</v>
      </c>
      <c r="AT23" s="22"/>
      <c r="AU23" s="57">
        <v>2</v>
      </c>
      <c r="AV23" s="22"/>
    </row>
    <row r="24" spans="1:48" ht="12.75">
      <c r="A24" s="180" t="s">
        <v>4</v>
      </c>
      <c r="B24" s="181" t="s">
        <v>76</v>
      </c>
      <c r="C24" s="69">
        <f ca="1">OFFSET(INDIRECT($C$8),16,0)</f>
        <v>2</v>
      </c>
      <c r="D24" s="69">
        <f ca="1">OFFSET(INDIRECT($C$8),16,1)</f>
        <v>0</v>
      </c>
      <c r="E24" s="22">
        <v>3</v>
      </c>
      <c r="F24" s="22">
        <v>0</v>
      </c>
      <c r="G24" s="22">
        <v>3</v>
      </c>
      <c r="H24" s="22">
        <v>0</v>
      </c>
      <c r="I24" s="22">
        <v>2</v>
      </c>
      <c r="J24" s="22"/>
      <c r="K24" s="22">
        <v>2</v>
      </c>
      <c r="L24" s="22"/>
      <c r="M24" s="22">
        <v>3</v>
      </c>
      <c r="N24" s="22"/>
      <c r="O24" s="22">
        <v>3</v>
      </c>
      <c r="P24" s="22"/>
      <c r="Q24" s="22">
        <v>3</v>
      </c>
      <c r="R24" s="22"/>
      <c r="S24" s="22">
        <v>3</v>
      </c>
      <c r="T24" s="22"/>
      <c r="U24" s="22">
        <v>3</v>
      </c>
      <c r="V24" s="22"/>
      <c r="W24" s="22">
        <v>1</v>
      </c>
      <c r="X24" s="22"/>
      <c r="Y24" s="22">
        <v>3</v>
      </c>
      <c r="Z24" s="22"/>
      <c r="AA24" s="22">
        <v>2</v>
      </c>
      <c r="AB24" s="22"/>
      <c r="AC24" s="22">
        <v>2</v>
      </c>
      <c r="AD24" s="22"/>
      <c r="AE24" s="22">
        <v>2</v>
      </c>
      <c r="AF24" s="22"/>
      <c r="AG24" s="22">
        <v>2</v>
      </c>
      <c r="AH24" s="22"/>
      <c r="AI24" s="22">
        <v>2</v>
      </c>
      <c r="AJ24" s="22"/>
      <c r="AK24" s="22">
        <v>2</v>
      </c>
      <c r="AL24" s="22"/>
      <c r="AM24" s="22">
        <v>2</v>
      </c>
      <c r="AN24" s="22"/>
      <c r="AO24" s="22">
        <v>3</v>
      </c>
      <c r="AP24" s="22"/>
      <c r="AQ24" s="22">
        <v>2</v>
      </c>
      <c r="AR24" s="22"/>
      <c r="AS24" s="22">
        <v>2</v>
      </c>
      <c r="AT24" s="22"/>
      <c r="AU24" s="22">
        <v>2</v>
      </c>
      <c r="AV24" s="22"/>
    </row>
    <row r="25" spans="1:48" ht="12.75">
      <c r="A25" s="180" t="s">
        <v>7</v>
      </c>
      <c r="B25" s="181" t="s">
        <v>77</v>
      </c>
      <c r="C25" s="69">
        <f ca="1">OFFSET(INDIRECT($C$8),17,0)</f>
        <v>2</v>
      </c>
      <c r="D25" s="69">
        <f ca="1">OFFSET(INDIRECT($C$8),17,1)</f>
        <v>0</v>
      </c>
      <c r="E25" s="22">
        <v>3</v>
      </c>
      <c r="F25" s="22">
        <v>0</v>
      </c>
      <c r="G25" s="22">
        <v>3</v>
      </c>
      <c r="H25" s="22">
        <v>0</v>
      </c>
      <c r="I25" s="22">
        <v>2</v>
      </c>
      <c r="J25" s="22"/>
      <c r="K25" s="22">
        <v>2</v>
      </c>
      <c r="L25" s="22"/>
      <c r="M25" s="22">
        <v>3</v>
      </c>
      <c r="N25" s="22"/>
      <c r="O25" s="22">
        <v>3</v>
      </c>
      <c r="P25" s="22"/>
      <c r="Q25" s="22">
        <v>3</v>
      </c>
      <c r="R25" s="22"/>
      <c r="S25" s="22">
        <v>3</v>
      </c>
      <c r="T25" s="22"/>
      <c r="U25" s="22">
        <v>3</v>
      </c>
      <c r="V25" s="22"/>
      <c r="W25" s="22">
        <v>3</v>
      </c>
      <c r="X25" s="22"/>
      <c r="Y25" s="22">
        <v>3</v>
      </c>
      <c r="Z25" s="22"/>
      <c r="AA25" s="22">
        <v>1</v>
      </c>
      <c r="AB25" s="22">
        <v>10</v>
      </c>
      <c r="AC25" s="22">
        <v>2</v>
      </c>
      <c r="AD25" s="22">
        <v>5</v>
      </c>
      <c r="AE25" s="22">
        <v>2</v>
      </c>
      <c r="AF25" s="22">
        <v>5</v>
      </c>
      <c r="AG25" s="22">
        <v>2</v>
      </c>
      <c r="AH25" s="22">
        <v>10</v>
      </c>
      <c r="AI25" s="22">
        <v>2</v>
      </c>
      <c r="AJ25" s="22">
        <v>5</v>
      </c>
      <c r="AK25" s="22">
        <v>2</v>
      </c>
      <c r="AL25" s="22"/>
      <c r="AM25" s="22">
        <v>2</v>
      </c>
      <c r="AN25" s="22"/>
      <c r="AO25" s="22">
        <v>3</v>
      </c>
      <c r="AP25" s="22"/>
      <c r="AQ25" s="22">
        <v>2</v>
      </c>
      <c r="AR25" s="22"/>
      <c r="AS25" s="22">
        <v>2</v>
      </c>
      <c r="AT25" s="22"/>
      <c r="AU25" s="22">
        <v>2</v>
      </c>
      <c r="AV25" s="22"/>
    </row>
    <row r="26" spans="1:48" ht="12.75">
      <c r="A26" s="180" t="s">
        <v>4</v>
      </c>
      <c r="B26" s="181" t="s">
        <v>78</v>
      </c>
      <c r="C26" s="69">
        <f ca="1">OFFSET(INDIRECT($C$8),18,0)</f>
        <v>2</v>
      </c>
      <c r="D26" s="69">
        <f ca="1">OFFSET(INDIRECT($C$8),18,1)</f>
        <v>0</v>
      </c>
      <c r="E26" s="22">
        <v>3</v>
      </c>
      <c r="F26" s="22">
        <v>0</v>
      </c>
      <c r="G26" s="22">
        <v>3</v>
      </c>
      <c r="H26" s="22">
        <v>0</v>
      </c>
      <c r="I26" s="22">
        <v>2</v>
      </c>
      <c r="J26" s="22"/>
      <c r="K26" s="22">
        <v>2</v>
      </c>
      <c r="L26" s="22"/>
      <c r="M26" s="22">
        <v>3</v>
      </c>
      <c r="N26" s="22"/>
      <c r="O26" s="22">
        <v>3</v>
      </c>
      <c r="P26" s="22"/>
      <c r="Q26" s="22">
        <v>3</v>
      </c>
      <c r="R26" s="22"/>
      <c r="S26" s="22">
        <v>2</v>
      </c>
      <c r="T26" s="22">
        <v>5</v>
      </c>
      <c r="U26" s="22">
        <v>3</v>
      </c>
      <c r="V26" s="22"/>
      <c r="W26" s="22">
        <v>3</v>
      </c>
      <c r="X26" s="22"/>
      <c r="Y26" s="22">
        <v>3</v>
      </c>
      <c r="Z26" s="22"/>
      <c r="AA26" s="22">
        <v>2</v>
      </c>
      <c r="AB26" s="22"/>
      <c r="AC26" s="22">
        <v>2</v>
      </c>
      <c r="AD26" s="22"/>
      <c r="AE26" s="22">
        <v>2</v>
      </c>
      <c r="AF26" s="22"/>
      <c r="AG26" s="22">
        <v>2</v>
      </c>
      <c r="AH26" s="22"/>
      <c r="AI26" s="22">
        <v>2</v>
      </c>
      <c r="AJ26" s="22"/>
      <c r="AK26" s="22">
        <v>2</v>
      </c>
      <c r="AL26" s="22"/>
      <c r="AM26" s="22">
        <v>2</v>
      </c>
      <c r="AN26" s="22"/>
      <c r="AO26" s="22">
        <v>3</v>
      </c>
      <c r="AP26" s="22"/>
      <c r="AQ26" s="22">
        <v>2</v>
      </c>
      <c r="AR26" s="22"/>
      <c r="AS26" s="22">
        <v>2</v>
      </c>
      <c r="AT26" s="22"/>
      <c r="AU26" s="22">
        <v>2</v>
      </c>
      <c r="AV26" s="22"/>
    </row>
    <row r="27" spans="1:48" ht="12.75">
      <c r="A27" s="180" t="s">
        <v>4</v>
      </c>
      <c r="B27" s="181" t="s">
        <v>79</v>
      </c>
      <c r="C27" s="69">
        <f ca="1">OFFSET(INDIRECT($C$8),19,0)</f>
        <v>2</v>
      </c>
      <c r="D27" s="69">
        <f ca="1">OFFSET(INDIRECT($C$8),19,1)</f>
        <v>0</v>
      </c>
      <c r="E27" s="22">
        <v>3</v>
      </c>
      <c r="F27" s="22">
        <v>0</v>
      </c>
      <c r="G27" s="22">
        <v>3</v>
      </c>
      <c r="H27" s="22">
        <v>0</v>
      </c>
      <c r="I27" s="22">
        <v>2</v>
      </c>
      <c r="J27" s="22"/>
      <c r="K27" s="22">
        <v>2</v>
      </c>
      <c r="L27" s="22"/>
      <c r="M27" s="22">
        <v>3</v>
      </c>
      <c r="N27" s="22"/>
      <c r="O27" s="22">
        <v>3</v>
      </c>
      <c r="P27" s="22"/>
      <c r="Q27" s="22">
        <v>3</v>
      </c>
      <c r="R27" s="22"/>
      <c r="S27" s="22">
        <v>3</v>
      </c>
      <c r="T27" s="22"/>
      <c r="U27" s="22">
        <v>3</v>
      </c>
      <c r="V27" s="22"/>
      <c r="W27" s="22">
        <v>3</v>
      </c>
      <c r="X27" s="22"/>
      <c r="Y27" s="22">
        <v>3</v>
      </c>
      <c r="Z27" s="22"/>
      <c r="AA27" s="22">
        <v>2</v>
      </c>
      <c r="AB27" s="22"/>
      <c r="AC27" s="22">
        <v>2</v>
      </c>
      <c r="AD27" s="22"/>
      <c r="AE27" s="22">
        <v>2</v>
      </c>
      <c r="AF27" s="22"/>
      <c r="AG27" s="22">
        <v>2</v>
      </c>
      <c r="AH27" s="22"/>
      <c r="AI27" s="22">
        <v>2</v>
      </c>
      <c r="AJ27" s="22"/>
      <c r="AK27" s="22">
        <v>2</v>
      </c>
      <c r="AL27" s="22"/>
      <c r="AM27" s="22">
        <v>2</v>
      </c>
      <c r="AN27" s="22"/>
      <c r="AO27" s="22">
        <v>3</v>
      </c>
      <c r="AP27" s="22"/>
      <c r="AQ27" s="22">
        <v>2</v>
      </c>
      <c r="AR27" s="22"/>
      <c r="AS27" s="22">
        <v>2</v>
      </c>
      <c r="AT27" s="22"/>
      <c r="AU27" s="22">
        <v>2</v>
      </c>
      <c r="AV27" s="22"/>
    </row>
    <row r="28" spans="1:48" ht="12.75">
      <c r="A28" s="180" t="s">
        <v>4</v>
      </c>
      <c r="B28" s="181" t="s">
        <v>225</v>
      </c>
      <c r="C28" s="69">
        <f ca="1">OFFSET(INDIRECT($C$8),20,0)</f>
        <v>2</v>
      </c>
      <c r="D28" s="69">
        <f ca="1">OFFSET(INDIRECT($C$8),20,1)</f>
        <v>0</v>
      </c>
      <c r="E28" s="22">
        <v>3</v>
      </c>
      <c r="F28" s="22">
        <v>0</v>
      </c>
      <c r="G28" s="22">
        <v>3</v>
      </c>
      <c r="H28" s="22">
        <v>0</v>
      </c>
      <c r="I28" s="22">
        <v>2</v>
      </c>
      <c r="J28" s="22"/>
      <c r="K28" s="22">
        <v>2</v>
      </c>
      <c r="L28" s="22"/>
      <c r="M28" s="22">
        <v>3</v>
      </c>
      <c r="N28" s="22"/>
      <c r="O28" s="22">
        <v>3</v>
      </c>
      <c r="P28" s="22"/>
      <c r="Q28" s="22">
        <v>3</v>
      </c>
      <c r="R28" s="22"/>
      <c r="S28" s="22">
        <v>3</v>
      </c>
      <c r="T28" s="22"/>
      <c r="U28" s="22">
        <v>3</v>
      </c>
      <c r="V28" s="22"/>
      <c r="W28" s="22">
        <v>3</v>
      </c>
      <c r="X28" s="22"/>
      <c r="Y28" s="22">
        <v>3</v>
      </c>
      <c r="Z28" s="22"/>
      <c r="AA28" s="22">
        <v>2</v>
      </c>
      <c r="AB28" s="22"/>
      <c r="AC28" s="22">
        <v>2</v>
      </c>
      <c r="AD28" s="22"/>
      <c r="AE28" s="22">
        <v>2</v>
      </c>
      <c r="AF28" s="22"/>
      <c r="AG28" s="22">
        <v>2</v>
      </c>
      <c r="AH28" s="22"/>
      <c r="AI28" s="22">
        <v>2</v>
      </c>
      <c r="AJ28" s="22"/>
      <c r="AK28" s="22">
        <v>2</v>
      </c>
      <c r="AL28" s="22"/>
      <c r="AM28" s="22">
        <v>2</v>
      </c>
      <c r="AN28" s="22"/>
      <c r="AO28" s="22">
        <v>3</v>
      </c>
      <c r="AP28" s="22"/>
      <c r="AQ28" s="22">
        <v>2</v>
      </c>
      <c r="AR28" s="22"/>
      <c r="AS28" s="22">
        <v>2</v>
      </c>
      <c r="AT28" s="22"/>
      <c r="AU28" s="22">
        <v>2</v>
      </c>
      <c r="AV28" s="22"/>
    </row>
    <row r="29" spans="1:48" ht="12.75">
      <c r="A29" s="180" t="s">
        <v>4</v>
      </c>
      <c r="B29" s="181" t="s">
        <v>125</v>
      </c>
      <c r="C29" s="69">
        <f ca="1">OFFSET(INDIRECT($C$8),21,0)</f>
        <v>2</v>
      </c>
      <c r="D29" s="69">
        <f ca="1">OFFSET(INDIRECT($C$8),21,1)</f>
        <v>0</v>
      </c>
      <c r="E29" s="22">
        <v>3</v>
      </c>
      <c r="F29" s="22">
        <v>0</v>
      </c>
      <c r="G29" s="22">
        <v>3</v>
      </c>
      <c r="H29" s="22">
        <v>0</v>
      </c>
      <c r="I29" s="22">
        <v>2</v>
      </c>
      <c r="J29" s="22"/>
      <c r="K29" s="22">
        <v>2</v>
      </c>
      <c r="L29" s="22"/>
      <c r="M29" s="22">
        <v>3</v>
      </c>
      <c r="N29" s="22"/>
      <c r="O29" s="22">
        <v>3</v>
      </c>
      <c r="P29" s="22"/>
      <c r="Q29" s="22">
        <v>3</v>
      </c>
      <c r="R29" s="22"/>
      <c r="S29" s="22">
        <v>2</v>
      </c>
      <c r="T29" s="22"/>
      <c r="U29" s="22">
        <v>3</v>
      </c>
      <c r="V29" s="22"/>
      <c r="W29" s="22">
        <v>3</v>
      </c>
      <c r="X29" s="22"/>
      <c r="Y29" s="22">
        <v>3</v>
      </c>
      <c r="Z29" s="22"/>
      <c r="AA29" s="22">
        <v>2</v>
      </c>
      <c r="AB29" s="22"/>
      <c r="AC29" s="22">
        <v>2</v>
      </c>
      <c r="AD29" s="22"/>
      <c r="AE29" s="22">
        <v>2</v>
      </c>
      <c r="AF29" s="22"/>
      <c r="AG29" s="22">
        <v>2</v>
      </c>
      <c r="AH29" s="22"/>
      <c r="AI29" s="22">
        <v>2</v>
      </c>
      <c r="AJ29" s="22"/>
      <c r="AK29" s="22">
        <v>2</v>
      </c>
      <c r="AL29" s="22"/>
      <c r="AM29" s="22">
        <v>2</v>
      </c>
      <c r="AN29" s="22"/>
      <c r="AO29" s="22">
        <v>3</v>
      </c>
      <c r="AP29" s="22"/>
      <c r="AQ29" s="22">
        <v>2</v>
      </c>
      <c r="AR29" s="22"/>
      <c r="AS29" s="22">
        <v>2</v>
      </c>
      <c r="AT29" s="22"/>
      <c r="AU29" s="22">
        <v>2</v>
      </c>
      <c r="AV29" s="22"/>
    </row>
    <row r="30" spans="1:48" ht="12.75">
      <c r="A30" s="180" t="s">
        <v>4</v>
      </c>
      <c r="B30" s="181" t="s">
        <v>80</v>
      </c>
      <c r="C30" s="69">
        <f ca="1">OFFSET(INDIRECT($C$8),22,0)</f>
        <v>2</v>
      </c>
      <c r="D30" s="69">
        <f ca="1">OFFSET(INDIRECT($C$8),22,1)</f>
        <v>0</v>
      </c>
      <c r="E30" s="22">
        <v>3</v>
      </c>
      <c r="F30" s="22">
        <v>0</v>
      </c>
      <c r="G30" s="22">
        <v>3</v>
      </c>
      <c r="H30" s="22">
        <v>0</v>
      </c>
      <c r="I30" s="22">
        <v>2</v>
      </c>
      <c r="J30" s="22"/>
      <c r="K30" s="22">
        <v>2</v>
      </c>
      <c r="L30" s="22"/>
      <c r="M30" s="22">
        <v>3</v>
      </c>
      <c r="N30" s="22"/>
      <c r="O30" s="22">
        <v>3</v>
      </c>
      <c r="P30" s="22"/>
      <c r="Q30" s="22">
        <v>3</v>
      </c>
      <c r="R30" s="22"/>
      <c r="S30" s="22">
        <v>3</v>
      </c>
      <c r="T30" s="22"/>
      <c r="U30" s="22">
        <v>3</v>
      </c>
      <c r="V30" s="22"/>
      <c r="W30" s="22">
        <v>3</v>
      </c>
      <c r="X30" s="22"/>
      <c r="Y30" s="22">
        <v>3</v>
      </c>
      <c r="Z30" s="22"/>
      <c r="AA30" s="22">
        <v>2</v>
      </c>
      <c r="AB30" s="22"/>
      <c r="AC30" s="22">
        <v>2</v>
      </c>
      <c r="AD30" s="22"/>
      <c r="AE30" s="22">
        <v>2</v>
      </c>
      <c r="AF30" s="22"/>
      <c r="AG30" s="22">
        <v>2</v>
      </c>
      <c r="AH30" s="22"/>
      <c r="AI30" s="22">
        <v>2</v>
      </c>
      <c r="AJ30" s="22"/>
      <c r="AK30" s="22">
        <v>2</v>
      </c>
      <c r="AL30" s="22"/>
      <c r="AM30" s="22">
        <v>2</v>
      </c>
      <c r="AN30" s="22"/>
      <c r="AO30" s="22">
        <v>3</v>
      </c>
      <c r="AP30" s="22"/>
      <c r="AQ30" s="22">
        <v>2</v>
      </c>
      <c r="AR30" s="22"/>
      <c r="AS30" s="22">
        <v>2</v>
      </c>
      <c r="AT30" s="22"/>
      <c r="AU30" s="22">
        <v>2</v>
      </c>
      <c r="AV30" s="22"/>
    </row>
    <row r="31" spans="1:48" ht="12.75">
      <c r="A31" s="180" t="s">
        <v>4</v>
      </c>
      <c r="B31" s="181" t="s">
        <v>81</v>
      </c>
      <c r="C31" s="69">
        <f ca="1">OFFSET(INDIRECT($C$8),23,0)</f>
        <v>2</v>
      </c>
      <c r="D31" s="69">
        <f ca="1">OFFSET(INDIRECT($C$8),23,1)</f>
        <v>0</v>
      </c>
      <c r="E31" s="22">
        <v>3</v>
      </c>
      <c r="F31" s="22">
        <v>0</v>
      </c>
      <c r="G31" s="22">
        <v>3</v>
      </c>
      <c r="H31" s="22">
        <v>0</v>
      </c>
      <c r="I31" s="22">
        <v>2</v>
      </c>
      <c r="J31" s="22"/>
      <c r="K31" s="22">
        <v>2</v>
      </c>
      <c r="L31" s="22"/>
      <c r="M31" s="22">
        <v>3</v>
      </c>
      <c r="N31" s="22"/>
      <c r="O31" s="22">
        <v>3</v>
      </c>
      <c r="P31" s="22"/>
      <c r="Q31" s="22">
        <v>3</v>
      </c>
      <c r="R31" s="22"/>
      <c r="S31" s="22">
        <v>3</v>
      </c>
      <c r="T31" s="22"/>
      <c r="U31" s="22">
        <v>3</v>
      </c>
      <c r="V31" s="22"/>
      <c r="W31" s="22">
        <v>3</v>
      </c>
      <c r="X31" s="22"/>
      <c r="Y31" s="22">
        <v>3</v>
      </c>
      <c r="Z31" s="22"/>
      <c r="AA31" s="22">
        <v>2</v>
      </c>
      <c r="AB31" s="22">
        <v>5</v>
      </c>
      <c r="AC31" s="22">
        <v>2</v>
      </c>
      <c r="AD31" s="22"/>
      <c r="AE31" s="22">
        <v>2</v>
      </c>
      <c r="AF31" s="22"/>
      <c r="AG31" s="22">
        <v>2</v>
      </c>
      <c r="AH31" s="22">
        <v>5</v>
      </c>
      <c r="AI31" s="22">
        <v>2</v>
      </c>
      <c r="AJ31" s="22">
        <v>10</v>
      </c>
      <c r="AK31" s="22">
        <v>2</v>
      </c>
      <c r="AL31" s="22">
        <v>5</v>
      </c>
      <c r="AM31" s="22">
        <v>2</v>
      </c>
      <c r="AN31" s="22"/>
      <c r="AO31" s="22">
        <v>3</v>
      </c>
      <c r="AP31" s="22"/>
      <c r="AQ31" s="22">
        <v>2</v>
      </c>
      <c r="AR31" s="22"/>
      <c r="AS31" s="22">
        <v>2</v>
      </c>
      <c r="AT31" s="22"/>
      <c r="AU31" s="22">
        <v>2</v>
      </c>
      <c r="AV31" s="22"/>
    </row>
    <row r="32" spans="1:48" ht="12.75">
      <c r="A32" s="180" t="s">
        <v>4</v>
      </c>
      <c r="B32" s="181" t="s">
        <v>224</v>
      </c>
      <c r="C32" s="69">
        <f ca="1">OFFSET(INDIRECT($C$8),24,0)</f>
        <v>2</v>
      </c>
      <c r="D32" s="69">
        <f ca="1">OFFSET(INDIRECT($C$8),24,1)</f>
        <v>0</v>
      </c>
      <c r="E32" s="22">
        <v>3</v>
      </c>
      <c r="F32" s="22">
        <v>0</v>
      </c>
      <c r="G32" s="22">
        <v>3</v>
      </c>
      <c r="H32" s="22">
        <v>0</v>
      </c>
      <c r="I32" s="22">
        <v>2</v>
      </c>
      <c r="J32" s="22"/>
      <c r="K32" s="22">
        <v>2</v>
      </c>
      <c r="L32" s="22"/>
      <c r="M32" s="22">
        <v>3</v>
      </c>
      <c r="N32" s="22"/>
      <c r="O32" s="22">
        <v>3</v>
      </c>
      <c r="P32" s="22"/>
      <c r="Q32" s="22">
        <v>3</v>
      </c>
      <c r="R32" s="22"/>
      <c r="S32" s="22">
        <v>3</v>
      </c>
      <c r="T32" s="22"/>
      <c r="U32" s="22">
        <v>3</v>
      </c>
      <c r="V32" s="22"/>
      <c r="W32" s="22">
        <v>3</v>
      </c>
      <c r="X32" s="22"/>
      <c r="Y32" s="22">
        <v>3</v>
      </c>
      <c r="Z32" s="22"/>
      <c r="AA32" s="22">
        <v>2</v>
      </c>
      <c r="AB32" s="22"/>
      <c r="AC32" s="22">
        <v>2</v>
      </c>
      <c r="AD32" s="22"/>
      <c r="AE32" s="22">
        <v>2</v>
      </c>
      <c r="AF32" s="22"/>
      <c r="AG32" s="22">
        <v>2</v>
      </c>
      <c r="AH32" s="22"/>
      <c r="AI32" s="22">
        <v>2</v>
      </c>
      <c r="AJ32" s="22"/>
      <c r="AK32" s="22">
        <v>2</v>
      </c>
      <c r="AL32" s="22"/>
      <c r="AM32" s="22">
        <v>2</v>
      </c>
      <c r="AN32" s="22"/>
      <c r="AO32" s="22">
        <v>3</v>
      </c>
      <c r="AP32" s="22"/>
      <c r="AQ32" s="22">
        <v>2</v>
      </c>
      <c r="AR32" s="22"/>
      <c r="AS32" s="22">
        <v>2</v>
      </c>
      <c r="AT32" s="22"/>
      <c r="AU32" s="22">
        <v>2</v>
      </c>
      <c r="AV32" s="22"/>
    </row>
    <row r="33" spans="1:48" ht="13.5" thickBot="1">
      <c r="A33" s="182" t="s">
        <v>4</v>
      </c>
      <c r="B33" s="184" t="s">
        <v>126</v>
      </c>
      <c r="C33" s="59">
        <f ca="1">OFFSET(INDIRECT($C$8),25,0)</f>
        <v>2</v>
      </c>
      <c r="D33" s="59">
        <f ca="1">OFFSET(INDIRECT($C$8),25,1)</f>
        <v>0</v>
      </c>
      <c r="E33" s="23">
        <v>3</v>
      </c>
      <c r="F33" s="23">
        <v>0</v>
      </c>
      <c r="G33" s="23">
        <v>3</v>
      </c>
      <c r="H33" s="23">
        <v>0</v>
      </c>
      <c r="I33" s="23">
        <v>2</v>
      </c>
      <c r="J33" s="23"/>
      <c r="K33" s="23">
        <v>2</v>
      </c>
      <c r="L33" s="23"/>
      <c r="M33" s="23">
        <v>3</v>
      </c>
      <c r="N33" s="23"/>
      <c r="O33" s="23">
        <v>3</v>
      </c>
      <c r="P33" s="23"/>
      <c r="Q33" s="23">
        <v>3</v>
      </c>
      <c r="R33" s="23"/>
      <c r="S33" s="23">
        <v>3</v>
      </c>
      <c r="T33" s="23"/>
      <c r="U33" s="23">
        <v>3</v>
      </c>
      <c r="V33" s="23"/>
      <c r="W33" s="23">
        <v>3</v>
      </c>
      <c r="X33" s="23"/>
      <c r="Y33" s="23">
        <v>3</v>
      </c>
      <c r="Z33" s="23"/>
      <c r="AA33" s="23">
        <v>2</v>
      </c>
      <c r="AB33" s="23"/>
      <c r="AC33" s="23">
        <v>2</v>
      </c>
      <c r="AD33" s="23"/>
      <c r="AE33" s="23">
        <v>2</v>
      </c>
      <c r="AF33" s="23"/>
      <c r="AG33" s="23">
        <v>2</v>
      </c>
      <c r="AH33" s="23"/>
      <c r="AI33" s="23">
        <v>2</v>
      </c>
      <c r="AJ33" s="23"/>
      <c r="AK33" s="23">
        <v>2</v>
      </c>
      <c r="AL33" s="23"/>
      <c r="AM33" s="23">
        <v>2</v>
      </c>
      <c r="AN33" s="23"/>
      <c r="AO33" s="23">
        <v>3</v>
      </c>
      <c r="AP33" s="23"/>
      <c r="AQ33" s="23">
        <v>2</v>
      </c>
      <c r="AR33" s="23"/>
      <c r="AS33" s="23">
        <v>2</v>
      </c>
      <c r="AT33" s="23"/>
      <c r="AU33" s="23">
        <v>2</v>
      </c>
      <c r="AV33" s="23"/>
    </row>
    <row r="34" spans="1:48" ht="12.75">
      <c r="A34" s="179" t="s">
        <v>7</v>
      </c>
      <c r="B34" s="183" t="s">
        <v>83</v>
      </c>
      <c r="C34" s="68">
        <f ca="1">OFFSET(INDIRECT($C$8),26,0)</f>
        <v>2</v>
      </c>
      <c r="D34" s="68">
        <f ca="1">OFFSET(INDIRECT($C$8),26,1)</f>
        <v>0</v>
      </c>
      <c r="E34" s="57">
        <v>2</v>
      </c>
      <c r="F34" s="22">
        <v>0</v>
      </c>
      <c r="G34" s="57">
        <v>2</v>
      </c>
      <c r="H34" s="22">
        <v>0</v>
      </c>
      <c r="I34" s="57">
        <v>2</v>
      </c>
      <c r="J34" s="22"/>
      <c r="K34" s="57">
        <v>1</v>
      </c>
      <c r="L34" s="22"/>
      <c r="M34" s="57">
        <v>2</v>
      </c>
      <c r="N34" s="22"/>
      <c r="O34" s="57">
        <v>2</v>
      </c>
      <c r="P34" s="22"/>
      <c r="Q34" s="57">
        <v>2</v>
      </c>
      <c r="R34" s="22"/>
      <c r="S34" s="57">
        <v>2</v>
      </c>
      <c r="T34" s="22"/>
      <c r="U34" s="57">
        <v>2</v>
      </c>
      <c r="V34" s="22"/>
      <c r="W34" s="57">
        <v>2</v>
      </c>
      <c r="X34" s="22"/>
      <c r="Y34" s="57">
        <v>2</v>
      </c>
      <c r="Z34" s="22"/>
      <c r="AA34" s="57">
        <v>2</v>
      </c>
      <c r="AB34" s="22"/>
      <c r="AC34" s="57">
        <v>2</v>
      </c>
      <c r="AD34" s="22"/>
      <c r="AE34" s="57">
        <v>2</v>
      </c>
      <c r="AF34" s="22"/>
      <c r="AG34" s="57">
        <v>2</v>
      </c>
      <c r="AH34" s="22"/>
      <c r="AI34" s="57">
        <v>2</v>
      </c>
      <c r="AJ34" s="22"/>
      <c r="AK34" s="57">
        <v>2</v>
      </c>
      <c r="AL34" s="22"/>
      <c r="AM34" s="57">
        <v>2</v>
      </c>
      <c r="AN34" s="22"/>
      <c r="AO34" s="57">
        <v>2</v>
      </c>
      <c r="AP34" s="22"/>
      <c r="AQ34" s="57">
        <v>2</v>
      </c>
      <c r="AR34" s="22"/>
      <c r="AS34" s="57">
        <v>2</v>
      </c>
      <c r="AT34" s="22"/>
      <c r="AU34" s="57">
        <v>1</v>
      </c>
      <c r="AV34" s="22"/>
    </row>
    <row r="35" spans="1:48" ht="12.75">
      <c r="A35" s="180" t="s">
        <v>4</v>
      </c>
      <c r="B35" s="181" t="s">
        <v>226</v>
      </c>
      <c r="C35" s="69">
        <f ca="1">OFFSET(INDIRECT($C$8),27,0)</f>
        <v>2</v>
      </c>
      <c r="D35" s="69">
        <f ca="1">OFFSET(INDIRECT($C$8),27,1)</f>
        <v>0</v>
      </c>
      <c r="E35" s="22">
        <v>2</v>
      </c>
      <c r="F35" s="22">
        <v>0</v>
      </c>
      <c r="G35" s="22">
        <v>2</v>
      </c>
      <c r="H35" s="22">
        <v>0</v>
      </c>
      <c r="I35" s="22">
        <v>2</v>
      </c>
      <c r="J35" s="22"/>
      <c r="K35" s="22">
        <v>1</v>
      </c>
      <c r="L35" s="22"/>
      <c r="M35" s="22">
        <v>2</v>
      </c>
      <c r="N35" s="22"/>
      <c r="O35" s="22">
        <v>2</v>
      </c>
      <c r="P35" s="22"/>
      <c r="Q35" s="22">
        <v>2</v>
      </c>
      <c r="R35" s="22"/>
      <c r="S35" s="22">
        <v>2</v>
      </c>
      <c r="T35" s="22"/>
      <c r="U35" s="22">
        <v>2</v>
      </c>
      <c r="V35" s="22"/>
      <c r="W35" s="22">
        <v>2</v>
      </c>
      <c r="X35" s="22"/>
      <c r="Y35" s="22">
        <v>2</v>
      </c>
      <c r="Z35" s="22"/>
      <c r="AA35" s="22">
        <v>2</v>
      </c>
      <c r="AB35" s="22"/>
      <c r="AC35" s="22">
        <v>2</v>
      </c>
      <c r="AD35" s="22"/>
      <c r="AE35" s="22">
        <v>2</v>
      </c>
      <c r="AF35" s="22"/>
      <c r="AG35" s="22">
        <v>2</v>
      </c>
      <c r="AH35" s="22"/>
      <c r="AI35" s="22">
        <v>2</v>
      </c>
      <c r="AJ35" s="22"/>
      <c r="AK35" s="22">
        <v>2</v>
      </c>
      <c r="AL35" s="22"/>
      <c r="AM35" s="22">
        <v>2</v>
      </c>
      <c r="AN35" s="22"/>
      <c r="AO35" s="22">
        <v>2</v>
      </c>
      <c r="AP35" s="22"/>
      <c r="AQ35" s="22">
        <v>2</v>
      </c>
      <c r="AR35" s="22"/>
      <c r="AS35" s="22">
        <v>2</v>
      </c>
      <c r="AT35" s="22"/>
      <c r="AU35" s="22">
        <v>1</v>
      </c>
      <c r="AV35" s="22"/>
    </row>
    <row r="36" spans="1:48" ht="12.75">
      <c r="A36" s="180" t="s">
        <v>4</v>
      </c>
      <c r="B36" s="181" t="s">
        <v>227</v>
      </c>
      <c r="C36" s="69">
        <f ca="1">OFFSET(INDIRECT($C$8),28,0)</f>
        <v>2</v>
      </c>
      <c r="D36" s="69">
        <f ca="1">OFFSET(INDIRECT($C$8),28,1)</f>
        <v>0</v>
      </c>
      <c r="E36" s="22">
        <v>2</v>
      </c>
      <c r="F36" s="22">
        <v>0</v>
      </c>
      <c r="G36" s="22">
        <v>2</v>
      </c>
      <c r="H36" s="22">
        <v>0</v>
      </c>
      <c r="I36" s="22">
        <v>2</v>
      </c>
      <c r="J36" s="22"/>
      <c r="K36" s="22">
        <v>1</v>
      </c>
      <c r="L36" s="22"/>
      <c r="M36" s="22">
        <v>2</v>
      </c>
      <c r="N36" s="22"/>
      <c r="O36" s="22">
        <v>2</v>
      </c>
      <c r="P36" s="22"/>
      <c r="Q36" s="22">
        <v>2</v>
      </c>
      <c r="R36" s="22"/>
      <c r="S36" s="22">
        <v>2</v>
      </c>
      <c r="T36" s="22"/>
      <c r="U36" s="22">
        <v>2</v>
      </c>
      <c r="V36" s="22"/>
      <c r="W36" s="22">
        <v>2</v>
      </c>
      <c r="X36" s="22"/>
      <c r="Y36" s="22">
        <v>2</v>
      </c>
      <c r="Z36" s="22"/>
      <c r="AA36" s="22">
        <v>2</v>
      </c>
      <c r="AB36" s="22"/>
      <c r="AC36" s="22">
        <v>2</v>
      </c>
      <c r="AD36" s="22"/>
      <c r="AE36" s="22">
        <v>2</v>
      </c>
      <c r="AF36" s="22"/>
      <c r="AG36" s="22">
        <v>2</v>
      </c>
      <c r="AH36" s="22"/>
      <c r="AI36" s="22">
        <v>2</v>
      </c>
      <c r="AJ36" s="22"/>
      <c r="AK36" s="22">
        <v>2</v>
      </c>
      <c r="AL36" s="22"/>
      <c r="AM36" s="22">
        <v>2</v>
      </c>
      <c r="AN36" s="22"/>
      <c r="AO36" s="22">
        <v>2</v>
      </c>
      <c r="AP36" s="22"/>
      <c r="AQ36" s="22">
        <v>2</v>
      </c>
      <c r="AR36" s="22"/>
      <c r="AS36" s="22">
        <v>2</v>
      </c>
      <c r="AT36" s="22"/>
      <c r="AU36" s="22">
        <v>1</v>
      </c>
      <c r="AV36" s="22"/>
    </row>
    <row r="37" spans="1:48" ht="12.75">
      <c r="A37" s="180" t="s">
        <v>6</v>
      </c>
      <c r="B37" s="181" t="s">
        <v>84</v>
      </c>
      <c r="C37" s="69">
        <f ca="1">OFFSET(INDIRECT($C$8),29,0)</f>
        <v>2</v>
      </c>
      <c r="D37" s="69">
        <f ca="1">OFFSET(INDIRECT($C$8),29,1)</f>
        <v>0</v>
      </c>
      <c r="E37" s="22">
        <v>2</v>
      </c>
      <c r="F37" s="22">
        <v>0</v>
      </c>
      <c r="G37" s="22">
        <v>2</v>
      </c>
      <c r="H37" s="22">
        <v>0</v>
      </c>
      <c r="I37" s="22">
        <v>2</v>
      </c>
      <c r="J37" s="22"/>
      <c r="K37" s="22">
        <v>1</v>
      </c>
      <c r="L37" s="22"/>
      <c r="M37" s="22">
        <v>2</v>
      </c>
      <c r="N37" s="22"/>
      <c r="O37" s="22">
        <v>2</v>
      </c>
      <c r="P37" s="22"/>
      <c r="Q37" s="22">
        <v>2</v>
      </c>
      <c r="R37" s="22"/>
      <c r="S37" s="22">
        <v>2</v>
      </c>
      <c r="T37" s="22"/>
      <c r="U37" s="22">
        <v>2</v>
      </c>
      <c r="V37" s="22"/>
      <c r="W37" s="22">
        <v>2</v>
      </c>
      <c r="X37" s="22"/>
      <c r="Y37" s="22">
        <v>2</v>
      </c>
      <c r="Z37" s="22"/>
      <c r="AA37" s="22">
        <v>2</v>
      </c>
      <c r="AB37" s="22"/>
      <c r="AC37" s="22">
        <v>2</v>
      </c>
      <c r="AD37" s="22"/>
      <c r="AE37" s="22">
        <v>2</v>
      </c>
      <c r="AF37" s="22"/>
      <c r="AG37" s="22">
        <v>2</v>
      </c>
      <c r="AH37" s="22"/>
      <c r="AI37" s="22">
        <v>2</v>
      </c>
      <c r="AJ37" s="22"/>
      <c r="AK37" s="22">
        <v>2</v>
      </c>
      <c r="AL37" s="22"/>
      <c r="AM37" s="22">
        <v>2</v>
      </c>
      <c r="AN37" s="22"/>
      <c r="AO37" s="22">
        <v>2</v>
      </c>
      <c r="AP37" s="22"/>
      <c r="AQ37" s="22">
        <v>2</v>
      </c>
      <c r="AR37" s="22"/>
      <c r="AS37" s="22">
        <v>2</v>
      </c>
      <c r="AT37" s="22"/>
      <c r="AU37" s="22">
        <v>1</v>
      </c>
      <c r="AV37" s="22"/>
    </row>
    <row r="38" spans="1:48" ht="12.75">
      <c r="A38" s="180" t="s">
        <v>4</v>
      </c>
      <c r="B38" s="181" t="s">
        <v>85</v>
      </c>
      <c r="C38" s="69">
        <f ca="1">OFFSET(INDIRECT($C$8),30,0)</f>
        <v>2</v>
      </c>
      <c r="D38" s="69">
        <f ca="1">OFFSET(INDIRECT($C$8),30,1)</f>
        <v>0</v>
      </c>
      <c r="E38" s="22">
        <v>2</v>
      </c>
      <c r="F38" s="22">
        <v>0</v>
      </c>
      <c r="G38" s="22">
        <v>2</v>
      </c>
      <c r="H38" s="22">
        <v>0</v>
      </c>
      <c r="I38" s="22">
        <v>2</v>
      </c>
      <c r="J38" s="22"/>
      <c r="K38" s="22">
        <v>1</v>
      </c>
      <c r="L38" s="22"/>
      <c r="M38" s="22">
        <v>2</v>
      </c>
      <c r="N38" s="22"/>
      <c r="O38" s="22">
        <v>2</v>
      </c>
      <c r="P38" s="22"/>
      <c r="Q38" s="22">
        <v>2</v>
      </c>
      <c r="R38" s="22"/>
      <c r="S38" s="22">
        <v>2</v>
      </c>
      <c r="T38" s="22"/>
      <c r="U38" s="22">
        <v>2</v>
      </c>
      <c r="V38" s="22"/>
      <c r="W38" s="22">
        <v>2</v>
      </c>
      <c r="X38" s="22"/>
      <c r="Y38" s="22">
        <v>2</v>
      </c>
      <c r="Z38" s="22"/>
      <c r="AA38" s="22">
        <v>2</v>
      </c>
      <c r="AB38" s="22"/>
      <c r="AC38" s="22">
        <v>2</v>
      </c>
      <c r="AD38" s="22"/>
      <c r="AE38" s="22">
        <v>1</v>
      </c>
      <c r="AF38" s="22">
        <v>5</v>
      </c>
      <c r="AG38" s="22">
        <v>2</v>
      </c>
      <c r="AH38" s="22"/>
      <c r="AI38" s="22">
        <v>2</v>
      </c>
      <c r="AJ38" s="22"/>
      <c r="AK38" s="22">
        <v>2</v>
      </c>
      <c r="AL38" s="22"/>
      <c r="AM38" s="22">
        <v>2</v>
      </c>
      <c r="AN38" s="22"/>
      <c r="AO38" s="22">
        <v>2</v>
      </c>
      <c r="AP38" s="22"/>
      <c r="AQ38" s="22">
        <v>2</v>
      </c>
      <c r="AR38" s="22"/>
      <c r="AS38" s="22">
        <v>2</v>
      </c>
      <c r="AT38" s="22"/>
      <c r="AU38" s="22">
        <v>1</v>
      </c>
      <c r="AV38" s="22"/>
    </row>
    <row r="39" spans="1:48" ht="13.5" thickBot="1">
      <c r="A39" s="182" t="s">
        <v>7</v>
      </c>
      <c r="B39" s="184" t="s">
        <v>86</v>
      </c>
      <c r="C39" s="59">
        <f ca="1">OFFSET(INDIRECT($C$8),31,0)</f>
        <v>2</v>
      </c>
      <c r="D39" s="59">
        <f ca="1">OFFSET(INDIRECT($C$8),31,1)</f>
        <v>0</v>
      </c>
      <c r="E39" s="23">
        <v>2</v>
      </c>
      <c r="F39" s="23">
        <v>0</v>
      </c>
      <c r="G39" s="23">
        <v>2</v>
      </c>
      <c r="H39" s="23">
        <v>10</v>
      </c>
      <c r="I39" s="23">
        <v>2</v>
      </c>
      <c r="J39" s="23"/>
      <c r="K39" s="23">
        <v>1</v>
      </c>
      <c r="L39" s="23"/>
      <c r="M39" s="23">
        <v>2</v>
      </c>
      <c r="N39" s="23"/>
      <c r="O39" s="23">
        <v>2</v>
      </c>
      <c r="P39" s="23"/>
      <c r="Q39" s="23">
        <v>2</v>
      </c>
      <c r="R39" s="23">
        <v>5</v>
      </c>
      <c r="S39" s="23">
        <v>2</v>
      </c>
      <c r="T39" s="23"/>
      <c r="U39" s="23">
        <v>2</v>
      </c>
      <c r="V39" s="23"/>
      <c r="W39" s="23">
        <v>2</v>
      </c>
      <c r="X39" s="23"/>
      <c r="Y39" s="23">
        <v>2</v>
      </c>
      <c r="Z39" s="23"/>
      <c r="AA39" s="23">
        <v>2</v>
      </c>
      <c r="AB39" s="23"/>
      <c r="AC39" s="23">
        <v>2</v>
      </c>
      <c r="AD39" s="23"/>
      <c r="AE39" s="23">
        <v>2</v>
      </c>
      <c r="AF39" s="23"/>
      <c r="AG39" s="23">
        <v>2</v>
      </c>
      <c r="AH39" s="23"/>
      <c r="AI39" s="23">
        <v>2</v>
      </c>
      <c r="AJ39" s="23"/>
      <c r="AK39" s="23">
        <v>2</v>
      </c>
      <c r="AL39" s="23"/>
      <c r="AM39" s="23">
        <v>2</v>
      </c>
      <c r="AN39" s="23"/>
      <c r="AO39" s="23">
        <v>2</v>
      </c>
      <c r="AP39" s="23"/>
      <c r="AQ39" s="23">
        <v>2</v>
      </c>
      <c r="AR39" s="23"/>
      <c r="AS39" s="23">
        <v>2</v>
      </c>
      <c r="AT39" s="23"/>
      <c r="AU39" s="23">
        <v>1</v>
      </c>
      <c r="AV39" s="23"/>
    </row>
    <row r="40" spans="1:48" ht="12.75">
      <c r="A40" s="179" t="s">
        <v>5</v>
      </c>
      <c r="B40" s="183" t="s">
        <v>88</v>
      </c>
      <c r="C40" s="68">
        <f ca="1">OFFSET(INDIRECT($C$8),32,0)</f>
        <v>2</v>
      </c>
      <c r="D40" s="68">
        <f ca="1">OFFSET(INDIRECT($C$8),32,1)</f>
        <v>0</v>
      </c>
      <c r="E40" s="57">
        <v>2</v>
      </c>
      <c r="F40" s="22">
        <v>0</v>
      </c>
      <c r="G40" s="57">
        <v>2</v>
      </c>
      <c r="H40" s="22">
        <v>0</v>
      </c>
      <c r="I40" s="57">
        <v>3</v>
      </c>
      <c r="J40" s="22"/>
      <c r="K40" s="57">
        <v>2</v>
      </c>
      <c r="L40" s="22"/>
      <c r="M40" s="57">
        <v>2</v>
      </c>
      <c r="N40" s="22"/>
      <c r="O40" s="57">
        <v>2</v>
      </c>
      <c r="P40" s="22"/>
      <c r="Q40" s="57">
        <v>2</v>
      </c>
      <c r="R40" s="22"/>
      <c r="S40" s="57">
        <v>2</v>
      </c>
      <c r="T40" s="22"/>
      <c r="U40" s="57">
        <v>2</v>
      </c>
      <c r="V40" s="22">
        <v>10</v>
      </c>
      <c r="W40" s="57">
        <v>1</v>
      </c>
      <c r="X40" s="22">
        <v>5</v>
      </c>
      <c r="Y40" s="57">
        <v>2</v>
      </c>
      <c r="Z40" s="22">
        <v>10</v>
      </c>
      <c r="AA40" s="57">
        <v>2</v>
      </c>
      <c r="AB40" s="22"/>
      <c r="AC40" s="57">
        <v>2</v>
      </c>
      <c r="AD40" s="22"/>
      <c r="AE40" s="57">
        <v>2</v>
      </c>
      <c r="AF40" s="22">
        <v>10</v>
      </c>
      <c r="AG40" s="57">
        <v>2</v>
      </c>
      <c r="AH40" s="22"/>
      <c r="AI40" s="57">
        <v>2</v>
      </c>
      <c r="AJ40" s="22"/>
      <c r="AK40" s="57">
        <v>2</v>
      </c>
      <c r="AL40" s="22"/>
      <c r="AM40" s="57">
        <v>2</v>
      </c>
      <c r="AN40" s="22"/>
      <c r="AO40" s="57">
        <v>2</v>
      </c>
      <c r="AP40" s="22"/>
      <c r="AQ40" s="57">
        <v>2</v>
      </c>
      <c r="AR40" s="22"/>
      <c r="AS40" s="57">
        <v>3</v>
      </c>
      <c r="AT40" s="22"/>
      <c r="AU40" s="57">
        <v>2</v>
      </c>
      <c r="AV40" s="22"/>
    </row>
    <row r="41" spans="1:48" ht="12.75">
      <c r="A41" s="180" t="s">
        <v>2</v>
      </c>
      <c r="B41" s="181" t="s">
        <v>89</v>
      </c>
      <c r="C41" s="69">
        <f ca="1">OFFSET(INDIRECT($C$8),33,0)</f>
        <v>2</v>
      </c>
      <c r="D41" s="69">
        <f ca="1">OFFSET(INDIRECT($C$8),33,1)</f>
        <v>0</v>
      </c>
      <c r="E41" s="22">
        <v>2</v>
      </c>
      <c r="F41" s="22">
        <v>0</v>
      </c>
      <c r="G41" s="22">
        <v>2</v>
      </c>
      <c r="H41" s="22">
        <v>0</v>
      </c>
      <c r="I41" s="22">
        <v>3</v>
      </c>
      <c r="J41" s="22"/>
      <c r="K41" s="22">
        <v>2</v>
      </c>
      <c r="L41" s="22"/>
      <c r="M41" s="22">
        <v>2</v>
      </c>
      <c r="N41" s="22"/>
      <c r="O41" s="22">
        <v>2</v>
      </c>
      <c r="P41" s="22"/>
      <c r="Q41" s="22">
        <v>2</v>
      </c>
      <c r="R41" s="22"/>
      <c r="S41" s="22">
        <v>2</v>
      </c>
      <c r="T41" s="22"/>
      <c r="U41" s="22">
        <v>2</v>
      </c>
      <c r="V41" s="22"/>
      <c r="W41" s="22">
        <v>1</v>
      </c>
      <c r="X41" s="22"/>
      <c r="Y41" s="22">
        <v>2</v>
      </c>
      <c r="Z41" s="22"/>
      <c r="AA41" s="22">
        <v>2</v>
      </c>
      <c r="AB41" s="22"/>
      <c r="AC41" s="22">
        <v>2</v>
      </c>
      <c r="AD41" s="22"/>
      <c r="AE41" s="22">
        <v>2</v>
      </c>
      <c r="AF41" s="22"/>
      <c r="AG41" s="22">
        <v>2</v>
      </c>
      <c r="AH41" s="22"/>
      <c r="AI41" s="22">
        <v>2</v>
      </c>
      <c r="AJ41" s="22"/>
      <c r="AK41" s="22">
        <v>2</v>
      </c>
      <c r="AL41" s="22"/>
      <c r="AM41" s="22">
        <v>2</v>
      </c>
      <c r="AN41" s="22"/>
      <c r="AO41" s="22">
        <v>2</v>
      </c>
      <c r="AP41" s="22"/>
      <c r="AQ41" s="22">
        <v>2</v>
      </c>
      <c r="AR41" s="22"/>
      <c r="AS41" s="22">
        <v>3</v>
      </c>
      <c r="AT41" s="22"/>
      <c r="AU41" s="22">
        <v>2</v>
      </c>
      <c r="AV41" s="22"/>
    </row>
    <row r="42" spans="1:48" ht="12.75">
      <c r="A42" s="180" t="s">
        <v>2</v>
      </c>
      <c r="B42" s="181" t="s">
        <v>127</v>
      </c>
      <c r="C42" s="69">
        <f ca="1">OFFSET(INDIRECT($C$8),34,0)</f>
        <v>2</v>
      </c>
      <c r="D42" s="69">
        <f ca="1">OFFSET(INDIRECT($C$8),34,1)</f>
        <v>0</v>
      </c>
      <c r="E42" s="22">
        <v>2</v>
      </c>
      <c r="F42" s="22">
        <v>0</v>
      </c>
      <c r="G42" s="22">
        <v>2</v>
      </c>
      <c r="H42" s="22">
        <v>0</v>
      </c>
      <c r="I42" s="22">
        <v>3</v>
      </c>
      <c r="J42" s="22"/>
      <c r="K42" s="22">
        <v>2</v>
      </c>
      <c r="L42" s="22"/>
      <c r="M42" s="22">
        <v>2</v>
      </c>
      <c r="N42" s="22"/>
      <c r="O42" s="22">
        <v>2</v>
      </c>
      <c r="P42" s="22"/>
      <c r="Q42" s="22">
        <v>2</v>
      </c>
      <c r="R42" s="22"/>
      <c r="S42" s="22">
        <v>2</v>
      </c>
      <c r="T42" s="22"/>
      <c r="U42" s="22">
        <v>2</v>
      </c>
      <c r="V42" s="22"/>
      <c r="W42" s="22">
        <v>1</v>
      </c>
      <c r="X42" s="22"/>
      <c r="Y42" s="22">
        <v>2</v>
      </c>
      <c r="Z42" s="22"/>
      <c r="AA42" s="22">
        <v>2</v>
      </c>
      <c r="AB42" s="22"/>
      <c r="AC42" s="22">
        <v>2</v>
      </c>
      <c r="AD42" s="22"/>
      <c r="AE42" s="22">
        <v>2</v>
      </c>
      <c r="AF42" s="22">
        <v>5</v>
      </c>
      <c r="AG42" s="22">
        <v>2</v>
      </c>
      <c r="AH42" s="22"/>
      <c r="AI42" s="22">
        <v>2</v>
      </c>
      <c r="AJ42" s="22"/>
      <c r="AK42" s="22">
        <v>2</v>
      </c>
      <c r="AL42" s="22"/>
      <c r="AM42" s="22">
        <v>2</v>
      </c>
      <c r="AN42" s="22"/>
      <c r="AO42" s="22">
        <v>2</v>
      </c>
      <c r="AP42" s="22"/>
      <c r="AQ42" s="22">
        <v>2</v>
      </c>
      <c r="AR42" s="22"/>
      <c r="AS42" s="22">
        <v>3</v>
      </c>
      <c r="AT42" s="22"/>
      <c r="AU42" s="22">
        <v>2</v>
      </c>
      <c r="AV42" s="22"/>
    </row>
    <row r="43" spans="1:48" ht="12.75">
      <c r="A43" s="180" t="s">
        <v>1</v>
      </c>
      <c r="B43" s="181" t="s">
        <v>128</v>
      </c>
      <c r="C43" s="69">
        <f ca="1">OFFSET(INDIRECT($C$8),35,0)</f>
        <v>2</v>
      </c>
      <c r="D43" s="69">
        <f ca="1">OFFSET(INDIRECT($C$8),35,1)</f>
        <v>0</v>
      </c>
      <c r="E43" s="22">
        <v>2</v>
      </c>
      <c r="F43" s="22">
        <v>0</v>
      </c>
      <c r="G43" s="22">
        <v>2</v>
      </c>
      <c r="H43" s="22">
        <v>0</v>
      </c>
      <c r="I43" s="22">
        <v>3</v>
      </c>
      <c r="J43" s="22"/>
      <c r="K43" s="22">
        <v>2</v>
      </c>
      <c r="L43" s="22"/>
      <c r="M43" s="22">
        <v>2</v>
      </c>
      <c r="N43" s="22"/>
      <c r="O43" s="22">
        <v>2</v>
      </c>
      <c r="P43" s="22"/>
      <c r="Q43" s="22">
        <v>2</v>
      </c>
      <c r="R43" s="22"/>
      <c r="S43" s="22">
        <v>2</v>
      </c>
      <c r="T43" s="22"/>
      <c r="U43" s="22">
        <v>2</v>
      </c>
      <c r="V43" s="22">
        <v>10</v>
      </c>
      <c r="W43" s="22">
        <v>1</v>
      </c>
      <c r="X43" s="22">
        <v>5</v>
      </c>
      <c r="Y43" s="22">
        <v>1</v>
      </c>
      <c r="Z43" s="22">
        <v>10</v>
      </c>
      <c r="AA43" s="22">
        <v>2</v>
      </c>
      <c r="AB43" s="22"/>
      <c r="AC43" s="22">
        <v>2</v>
      </c>
      <c r="AD43" s="22"/>
      <c r="AE43" s="22">
        <v>2</v>
      </c>
      <c r="AF43" s="22">
        <v>10</v>
      </c>
      <c r="AG43" s="22">
        <v>2</v>
      </c>
      <c r="AH43" s="22"/>
      <c r="AI43" s="22">
        <v>2</v>
      </c>
      <c r="AJ43" s="22"/>
      <c r="AK43" s="22">
        <v>2</v>
      </c>
      <c r="AL43" s="22"/>
      <c r="AM43" s="22">
        <v>2</v>
      </c>
      <c r="AN43" s="22"/>
      <c r="AO43" s="22">
        <v>2</v>
      </c>
      <c r="AP43" s="22"/>
      <c r="AQ43" s="22">
        <v>2</v>
      </c>
      <c r="AR43" s="22"/>
      <c r="AS43" s="22">
        <v>3</v>
      </c>
      <c r="AT43" s="22"/>
      <c r="AU43" s="22">
        <v>2</v>
      </c>
      <c r="AV43" s="22"/>
    </row>
    <row r="44" spans="1:48" ht="12.75">
      <c r="A44" s="180" t="s">
        <v>2</v>
      </c>
      <c r="B44" s="181" t="s">
        <v>90</v>
      </c>
      <c r="C44" s="69">
        <f ca="1">OFFSET(INDIRECT($C$8),36,0)</f>
        <v>2</v>
      </c>
      <c r="D44" s="69">
        <f ca="1">OFFSET(INDIRECT($C$8),36,1)</f>
        <v>0</v>
      </c>
      <c r="E44" s="22">
        <v>2</v>
      </c>
      <c r="F44" s="22">
        <v>0</v>
      </c>
      <c r="G44" s="22">
        <v>2</v>
      </c>
      <c r="H44" s="22">
        <v>0</v>
      </c>
      <c r="I44" s="22">
        <v>3</v>
      </c>
      <c r="J44" s="22"/>
      <c r="K44" s="22">
        <v>2</v>
      </c>
      <c r="L44" s="22"/>
      <c r="M44" s="22">
        <v>2</v>
      </c>
      <c r="N44" s="22"/>
      <c r="O44" s="22">
        <v>2</v>
      </c>
      <c r="P44" s="22"/>
      <c r="Q44" s="22">
        <v>2</v>
      </c>
      <c r="R44" s="22"/>
      <c r="S44" s="22">
        <v>2</v>
      </c>
      <c r="T44" s="22"/>
      <c r="U44" s="22">
        <v>2</v>
      </c>
      <c r="V44" s="22"/>
      <c r="W44" s="22">
        <v>1</v>
      </c>
      <c r="X44" s="22">
        <v>10</v>
      </c>
      <c r="Y44" s="22">
        <v>2</v>
      </c>
      <c r="Z44" s="22"/>
      <c r="AA44" s="22">
        <v>2</v>
      </c>
      <c r="AB44" s="22"/>
      <c r="AC44" s="22">
        <v>2</v>
      </c>
      <c r="AD44" s="22"/>
      <c r="AE44" s="22">
        <v>2</v>
      </c>
      <c r="AF44" s="22">
        <v>5</v>
      </c>
      <c r="AG44" s="22">
        <v>2</v>
      </c>
      <c r="AH44" s="22"/>
      <c r="AI44" s="22">
        <v>2</v>
      </c>
      <c r="AJ44" s="22"/>
      <c r="AK44" s="22">
        <v>2</v>
      </c>
      <c r="AL44" s="22"/>
      <c r="AM44" s="22">
        <v>2</v>
      </c>
      <c r="AN44" s="22"/>
      <c r="AO44" s="22">
        <v>2</v>
      </c>
      <c r="AP44" s="22"/>
      <c r="AQ44" s="22">
        <v>2</v>
      </c>
      <c r="AR44" s="22"/>
      <c r="AS44" s="22">
        <v>3</v>
      </c>
      <c r="AT44" s="22"/>
      <c r="AU44" s="22">
        <v>2</v>
      </c>
      <c r="AV44" s="22"/>
    </row>
    <row r="45" spans="1:48" ht="12.75">
      <c r="A45" s="180" t="s">
        <v>2</v>
      </c>
      <c r="B45" s="181" t="s">
        <v>129</v>
      </c>
      <c r="C45" s="69">
        <f ca="1">OFFSET(INDIRECT($C$8),37,0)</f>
        <v>2</v>
      </c>
      <c r="D45" s="69">
        <f ca="1">OFFSET(INDIRECT($C$8),37,1)</f>
        <v>0</v>
      </c>
      <c r="E45" s="22">
        <v>2</v>
      </c>
      <c r="F45" s="22">
        <v>0</v>
      </c>
      <c r="G45" s="22">
        <v>2</v>
      </c>
      <c r="H45" s="22">
        <v>0</v>
      </c>
      <c r="I45" s="22">
        <v>3</v>
      </c>
      <c r="J45" s="22"/>
      <c r="K45" s="22">
        <v>2</v>
      </c>
      <c r="L45" s="22"/>
      <c r="M45" s="22">
        <v>2</v>
      </c>
      <c r="N45" s="22"/>
      <c r="O45" s="22">
        <v>2</v>
      </c>
      <c r="P45" s="22"/>
      <c r="Q45" s="22">
        <v>2</v>
      </c>
      <c r="R45" s="22"/>
      <c r="S45" s="22">
        <v>1</v>
      </c>
      <c r="T45" s="22">
        <v>5</v>
      </c>
      <c r="U45" s="22">
        <v>2</v>
      </c>
      <c r="V45" s="22"/>
      <c r="W45" s="22">
        <v>1</v>
      </c>
      <c r="X45" s="22">
        <v>5</v>
      </c>
      <c r="Y45" s="22">
        <v>2</v>
      </c>
      <c r="Z45" s="22">
        <v>10</v>
      </c>
      <c r="AA45" s="22">
        <v>2</v>
      </c>
      <c r="AB45" s="22"/>
      <c r="AC45" s="22">
        <v>2</v>
      </c>
      <c r="AD45" s="22"/>
      <c r="AE45" s="22">
        <v>2</v>
      </c>
      <c r="AF45" s="22"/>
      <c r="AG45" s="22">
        <v>2</v>
      </c>
      <c r="AH45" s="22"/>
      <c r="AI45" s="22">
        <v>2</v>
      </c>
      <c r="AJ45" s="22"/>
      <c r="AK45" s="22">
        <v>2</v>
      </c>
      <c r="AL45" s="22"/>
      <c r="AM45" s="22">
        <v>2</v>
      </c>
      <c r="AN45" s="22"/>
      <c r="AO45" s="22">
        <v>2</v>
      </c>
      <c r="AP45" s="22"/>
      <c r="AQ45" s="22">
        <v>2</v>
      </c>
      <c r="AR45" s="22"/>
      <c r="AS45" s="22">
        <v>3</v>
      </c>
      <c r="AT45" s="22"/>
      <c r="AU45" s="22">
        <v>2</v>
      </c>
      <c r="AV45" s="22"/>
    </row>
    <row r="46" spans="1:48" ht="13.5" thickBot="1">
      <c r="A46" s="182" t="s">
        <v>4</v>
      </c>
      <c r="B46" s="184" t="s">
        <v>54</v>
      </c>
      <c r="C46" s="59">
        <f ca="1">OFFSET(INDIRECT($C$8),38,0)</f>
        <v>2</v>
      </c>
      <c r="D46" s="59">
        <f ca="1">OFFSET(INDIRECT($C$8),38,1)</f>
        <v>0</v>
      </c>
      <c r="E46" s="23">
        <v>2</v>
      </c>
      <c r="F46" s="23">
        <v>0</v>
      </c>
      <c r="G46" s="23">
        <v>2</v>
      </c>
      <c r="H46" s="23">
        <v>0</v>
      </c>
      <c r="I46" s="23">
        <v>3</v>
      </c>
      <c r="J46" s="23"/>
      <c r="K46" s="23">
        <v>2</v>
      </c>
      <c r="L46" s="23"/>
      <c r="M46" s="23">
        <v>2</v>
      </c>
      <c r="N46" s="23"/>
      <c r="O46" s="23">
        <v>2</v>
      </c>
      <c r="P46" s="23"/>
      <c r="Q46" s="23">
        <v>2</v>
      </c>
      <c r="R46" s="23"/>
      <c r="S46" s="23">
        <v>2</v>
      </c>
      <c r="T46" s="23"/>
      <c r="U46" s="23">
        <v>2</v>
      </c>
      <c r="V46" s="23"/>
      <c r="W46" s="23">
        <v>1</v>
      </c>
      <c r="X46" s="23"/>
      <c r="Y46" s="23">
        <v>2</v>
      </c>
      <c r="Z46" s="23">
        <v>10</v>
      </c>
      <c r="AA46" s="23">
        <v>2</v>
      </c>
      <c r="AB46" s="23"/>
      <c r="AC46" s="23">
        <v>2</v>
      </c>
      <c r="AD46" s="23"/>
      <c r="AE46" s="23">
        <v>2</v>
      </c>
      <c r="AF46" s="23"/>
      <c r="AG46" s="23">
        <v>2</v>
      </c>
      <c r="AH46" s="23"/>
      <c r="AI46" s="23">
        <v>2</v>
      </c>
      <c r="AJ46" s="23"/>
      <c r="AK46" s="23">
        <v>2</v>
      </c>
      <c r="AL46" s="23"/>
      <c r="AM46" s="23">
        <v>2</v>
      </c>
      <c r="AN46" s="23"/>
      <c r="AO46" s="23">
        <v>2</v>
      </c>
      <c r="AP46" s="23"/>
      <c r="AQ46" s="23">
        <v>2</v>
      </c>
      <c r="AR46" s="23"/>
      <c r="AS46" s="23">
        <v>3</v>
      </c>
      <c r="AT46" s="23"/>
      <c r="AU46" s="23">
        <v>2</v>
      </c>
      <c r="AV46" s="23"/>
    </row>
    <row r="47" spans="1:48" ht="12.75">
      <c r="A47" s="179" t="s">
        <v>7</v>
      </c>
      <c r="B47" s="183" t="s">
        <v>104</v>
      </c>
      <c r="C47" s="68">
        <f ca="1">OFFSET(INDIRECT($C$8),39,0)</f>
        <v>2</v>
      </c>
      <c r="D47" s="68">
        <f ca="1">OFFSET(INDIRECT($C$8),39,1)</f>
        <v>0</v>
      </c>
      <c r="E47" s="57">
        <v>2</v>
      </c>
      <c r="F47" s="22">
        <v>0</v>
      </c>
      <c r="G47" s="57">
        <v>2</v>
      </c>
      <c r="H47" s="22">
        <v>0</v>
      </c>
      <c r="I47" s="57">
        <v>2</v>
      </c>
      <c r="J47" s="22"/>
      <c r="K47" s="57">
        <v>2</v>
      </c>
      <c r="L47" s="22"/>
      <c r="M47" s="57">
        <v>2</v>
      </c>
      <c r="N47" s="22"/>
      <c r="O47" s="57">
        <v>2</v>
      </c>
      <c r="P47" s="22"/>
      <c r="Q47" s="57">
        <v>2</v>
      </c>
      <c r="R47" s="22"/>
      <c r="S47" s="57">
        <v>2</v>
      </c>
      <c r="T47" s="22"/>
      <c r="U47" s="57">
        <v>2</v>
      </c>
      <c r="V47" s="22"/>
      <c r="W47" s="57">
        <v>2</v>
      </c>
      <c r="X47" s="22"/>
      <c r="Y47" s="57">
        <v>2</v>
      </c>
      <c r="Z47" s="22"/>
      <c r="AA47" s="57">
        <v>2</v>
      </c>
      <c r="AB47" s="22"/>
      <c r="AC47" s="57">
        <v>2</v>
      </c>
      <c r="AD47" s="22"/>
      <c r="AE47" s="57">
        <v>2</v>
      </c>
      <c r="AF47" s="22"/>
      <c r="AG47" s="57">
        <v>2</v>
      </c>
      <c r="AH47" s="22"/>
      <c r="AI47" s="57">
        <v>2</v>
      </c>
      <c r="AJ47" s="22"/>
      <c r="AK47" s="57">
        <v>2</v>
      </c>
      <c r="AL47" s="22"/>
      <c r="AM47" s="57">
        <v>2</v>
      </c>
      <c r="AN47" s="22"/>
      <c r="AO47" s="57">
        <v>2</v>
      </c>
      <c r="AP47" s="22"/>
      <c r="AQ47" s="57">
        <v>2</v>
      </c>
      <c r="AR47" s="22"/>
      <c r="AS47" s="57">
        <v>2</v>
      </c>
      <c r="AT47" s="22"/>
      <c r="AU47" s="57">
        <v>2</v>
      </c>
      <c r="AV47" s="22"/>
    </row>
    <row r="48" spans="1:48" ht="12.75">
      <c r="A48" s="180" t="s">
        <v>2</v>
      </c>
      <c r="B48" s="181" t="s">
        <v>105</v>
      </c>
      <c r="C48" s="69">
        <f ca="1">OFFSET(INDIRECT($C$8),40,0)</f>
        <v>2</v>
      </c>
      <c r="D48" s="69">
        <f ca="1">OFFSET(INDIRECT($C$8),40,1)</f>
        <v>0</v>
      </c>
      <c r="E48" s="22">
        <v>2</v>
      </c>
      <c r="F48" s="22">
        <v>0</v>
      </c>
      <c r="G48" s="22">
        <v>2</v>
      </c>
      <c r="H48" s="22">
        <v>0</v>
      </c>
      <c r="I48" s="22">
        <v>2</v>
      </c>
      <c r="J48" s="22"/>
      <c r="K48" s="22">
        <v>2</v>
      </c>
      <c r="L48" s="22"/>
      <c r="M48" s="22">
        <v>2</v>
      </c>
      <c r="N48" s="22"/>
      <c r="O48" s="22">
        <v>2</v>
      </c>
      <c r="P48" s="22"/>
      <c r="Q48" s="22">
        <v>2</v>
      </c>
      <c r="R48" s="22"/>
      <c r="S48" s="22">
        <v>2</v>
      </c>
      <c r="T48" s="22"/>
      <c r="U48" s="22">
        <v>2</v>
      </c>
      <c r="V48" s="22"/>
      <c r="W48" s="22">
        <v>2</v>
      </c>
      <c r="X48" s="22"/>
      <c r="Y48" s="22">
        <v>2</v>
      </c>
      <c r="Z48" s="22"/>
      <c r="AA48" s="22">
        <v>2</v>
      </c>
      <c r="AB48" s="22"/>
      <c r="AC48" s="22">
        <v>2</v>
      </c>
      <c r="AD48" s="22"/>
      <c r="AE48" s="22">
        <v>2</v>
      </c>
      <c r="AF48" s="22"/>
      <c r="AG48" s="22">
        <v>2</v>
      </c>
      <c r="AH48" s="22"/>
      <c r="AI48" s="22">
        <v>2</v>
      </c>
      <c r="AJ48" s="22"/>
      <c r="AK48" s="22">
        <v>2</v>
      </c>
      <c r="AL48" s="22"/>
      <c r="AM48" s="22">
        <v>2</v>
      </c>
      <c r="AN48" s="22"/>
      <c r="AO48" s="22">
        <v>2</v>
      </c>
      <c r="AP48" s="22"/>
      <c r="AQ48" s="22">
        <v>2</v>
      </c>
      <c r="AR48" s="22"/>
      <c r="AS48" s="22">
        <v>2</v>
      </c>
      <c r="AT48" s="22"/>
      <c r="AU48" s="22">
        <v>2</v>
      </c>
      <c r="AV48" s="22"/>
    </row>
    <row r="49" spans="1:48" ht="12.75">
      <c r="A49" s="180" t="s">
        <v>2</v>
      </c>
      <c r="B49" s="181" t="s">
        <v>130</v>
      </c>
      <c r="C49" s="69">
        <f ca="1">OFFSET(INDIRECT($C$8),41,0)</f>
        <v>2</v>
      </c>
      <c r="D49" s="69">
        <f ca="1">OFFSET(INDIRECT($C$8),41,1)</f>
        <v>0</v>
      </c>
      <c r="E49" s="22">
        <v>2</v>
      </c>
      <c r="F49" s="22">
        <v>0</v>
      </c>
      <c r="G49" s="22">
        <v>2</v>
      </c>
      <c r="H49" s="22">
        <v>10</v>
      </c>
      <c r="I49" s="22">
        <v>2</v>
      </c>
      <c r="J49" s="22"/>
      <c r="K49" s="22">
        <v>2</v>
      </c>
      <c r="L49" s="22"/>
      <c r="M49" s="22">
        <v>2</v>
      </c>
      <c r="N49" s="22"/>
      <c r="O49" s="22">
        <v>2</v>
      </c>
      <c r="P49" s="22"/>
      <c r="Q49" s="22">
        <v>2</v>
      </c>
      <c r="R49" s="22"/>
      <c r="S49" s="22">
        <v>2</v>
      </c>
      <c r="T49" s="22"/>
      <c r="U49" s="22">
        <v>2</v>
      </c>
      <c r="V49" s="22"/>
      <c r="W49" s="22">
        <v>2</v>
      </c>
      <c r="X49" s="22">
        <v>5</v>
      </c>
      <c r="Y49" s="22">
        <v>2</v>
      </c>
      <c r="Z49" s="22"/>
      <c r="AA49" s="22">
        <v>2</v>
      </c>
      <c r="AB49" s="22"/>
      <c r="AC49" s="22">
        <v>2</v>
      </c>
      <c r="AD49" s="22"/>
      <c r="AE49" s="22">
        <v>1</v>
      </c>
      <c r="AF49" s="22">
        <v>10</v>
      </c>
      <c r="AG49" s="22">
        <v>2</v>
      </c>
      <c r="AH49" s="22"/>
      <c r="AI49" s="22">
        <v>2</v>
      </c>
      <c r="AJ49" s="22"/>
      <c r="AK49" s="22">
        <v>2</v>
      </c>
      <c r="AL49" s="22"/>
      <c r="AM49" s="22">
        <v>2</v>
      </c>
      <c r="AN49" s="22"/>
      <c r="AO49" s="22">
        <v>2</v>
      </c>
      <c r="AP49" s="22"/>
      <c r="AQ49" s="22">
        <v>2</v>
      </c>
      <c r="AR49" s="22"/>
      <c r="AS49" s="22">
        <v>2</v>
      </c>
      <c r="AT49" s="22"/>
      <c r="AU49" s="22">
        <v>2</v>
      </c>
      <c r="AV49" s="22"/>
    </row>
    <row r="50" spans="1:48" ht="12.75">
      <c r="A50" s="180" t="s">
        <v>1</v>
      </c>
      <c r="B50" s="181" t="s">
        <v>106</v>
      </c>
      <c r="C50" s="69">
        <f ca="1">OFFSET(INDIRECT($C$8),42,0)</f>
        <v>2</v>
      </c>
      <c r="D50" s="69">
        <f ca="1">OFFSET(INDIRECT($C$8),42,1)</f>
        <v>0</v>
      </c>
      <c r="E50" s="22">
        <v>2</v>
      </c>
      <c r="F50" s="22">
        <v>0</v>
      </c>
      <c r="G50" s="22">
        <v>2</v>
      </c>
      <c r="H50" s="22">
        <v>0</v>
      </c>
      <c r="I50" s="22">
        <v>2</v>
      </c>
      <c r="J50" s="22"/>
      <c r="K50" s="22">
        <v>2</v>
      </c>
      <c r="L50" s="22"/>
      <c r="M50" s="22">
        <v>2</v>
      </c>
      <c r="N50" s="22"/>
      <c r="O50" s="22">
        <v>2</v>
      </c>
      <c r="P50" s="22"/>
      <c r="Q50" s="22">
        <v>2</v>
      </c>
      <c r="R50" s="22"/>
      <c r="S50" s="22">
        <v>2</v>
      </c>
      <c r="T50" s="22"/>
      <c r="U50" s="22">
        <v>2</v>
      </c>
      <c r="V50" s="22"/>
      <c r="W50" s="22">
        <v>2</v>
      </c>
      <c r="X50" s="22"/>
      <c r="Y50" s="22">
        <v>2</v>
      </c>
      <c r="Z50" s="22"/>
      <c r="AA50" s="22">
        <v>2</v>
      </c>
      <c r="AB50" s="22"/>
      <c r="AC50" s="22">
        <v>2</v>
      </c>
      <c r="AD50" s="22"/>
      <c r="AE50" s="22">
        <v>2</v>
      </c>
      <c r="AF50" s="22"/>
      <c r="AG50" s="22">
        <v>2</v>
      </c>
      <c r="AH50" s="22"/>
      <c r="AI50" s="22">
        <v>2</v>
      </c>
      <c r="AJ50" s="22"/>
      <c r="AK50" s="22">
        <v>2</v>
      </c>
      <c r="AL50" s="22"/>
      <c r="AM50" s="22">
        <v>2</v>
      </c>
      <c r="AN50" s="22"/>
      <c r="AO50" s="22">
        <v>2</v>
      </c>
      <c r="AP50" s="22"/>
      <c r="AQ50" s="22">
        <v>2</v>
      </c>
      <c r="AR50" s="22"/>
      <c r="AS50" s="22">
        <v>2</v>
      </c>
      <c r="AT50" s="22"/>
      <c r="AU50" s="22">
        <v>2</v>
      </c>
      <c r="AV50" s="22"/>
    </row>
    <row r="51" spans="1:48" ht="13.5" thickBot="1">
      <c r="A51" s="182" t="s">
        <v>7</v>
      </c>
      <c r="B51" s="184" t="s">
        <v>223</v>
      </c>
      <c r="C51" s="59">
        <f ca="1">OFFSET(INDIRECT($C$8),43,0)</f>
        <v>2</v>
      </c>
      <c r="D51" s="59">
        <f ca="1">OFFSET(INDIRECT($C$8),43,1)</f>
        <v>0</v>
      </c>
      <c r="E51" s="23">
        <v>2</v>
      </c>
      <c r="F51" s="23">
        <v>0</v>
      </c>
      <c r="G51" s="23">
        <v>2</v>
      </c>
      <c r="H51" s="23">
        <v>0</v>
      </c>
      <c r="I51" s="23">
        <v>2</v>
      </c>
      <c r="J51" s="23"/>
      <c r="K51" s="23">
        <v>2</v>
      </c>
      <c r="L51" s="23"/>
      <c r="M51" s="23">
        <v>2</v>
      </c>
      <c r="N51" s="23"/>
      <c r="O51" s="23">
        <v>2</v>
      </c>
      <c r="P51" s="23"/>
      <c r="Q51" s="23">
        <v>2</v>
      </c>
      <c r="R51" s="23"/>
      <c r="S51" s="23">
        <v>2</v>
      </c>
      <c r="T51" s="23"/>
      <c r="U51" s="23">
        <v>2</v>
      </c>
      <c r="V51" s="23"/>
      <c r="W51" s="23">
        <v>2</v>
      </c>
      <c r="X51" s="23"/>
      <c r="Y51" s="23">
        <v>2</v>
      </c>
      <c r="Z51" s="23"/>
      <c r="AA51" s="23">
        <v>2</v>
      </c>
      <c r="AB51" s="23"/>
      <c r="AC51" s="23">
        <v>2</v>
      </c>
      <c r="AD51" s="23"/>
      <c r="AE51" s="23">
        <v>2</v>
      </c>
      <c r="AF51" s="23"/>
      <c r="AG51" s="23">
        <v>2</v>
      </c>
      <c r="AH51" s="23"/>
      <c r="AI51" s="23">
        <v>2</v>
      </c>
      <c r="AJ51" s="23"/>
      <c r="AK51" s="23">
        <v>2</v>
      </c>
      <c r="AL51" s="23"/>
      <c r="AM51" s="23">
        <v>2</v>
      </c>
      <c r="AN51" s="23"/>
      <c r="AO51" s="23">
        <v>2</v>
      </c>
      <c r="AP51" s="23"/>
      <c r="AQ51" s="23">
        <v>2</v>
      </c>
      <c r="AR51" s="23"/>
      <c r="AS51" s="23">
        <v>2</v>
      </c>
      <c r="AT51" s="23"/>
      <c r="AU51" s="23">
        <v>2</v>
      </c>
      <c r="AV51" s="23"/>
    </row>
    <row r="52" spans="1:47" ht="13.5" thickBot="1">
      <c r="A52" s="180" t="s">
        <v>4</v>
      </c>
      <c r="B52" s="181" t="s">
        <v>402</v>
      </c>
      <c r="C52" s="59">
        <f ca="1">OFFSET(INDIRECT($C$8),44,0)</f>
        <v>2</v>
      </c>
      <c r="D52" s="59">
        <f ca="1">OFFSET(INDIRECT($C$8),44,1)</f>
        <v>0</v>
      </c>
      <c r="E52" s="22">
        <v>3</v>
      </c>
      <c r="G52" s="22">
        <v>3</v>
      </c>
      <c r="I52" s="22">
        <v>2</v>
      </c>
      <c r="K52" s="22">
        <v>2</v>
      </c>
      <c r="M52" s="22">
        <v>3</v>
      </c>
      <c r="O52" s="22">
        <v>3</v>
      </c>
      <c r="Q52" s="22">
        <v>3</v>
      </c>
      <c r="S52" s="22">
        <v>3</v>
      </c>
      <c r="U52" s="22">
        <v>3</v>
      </c>
      <c r="W52" s="22">
        <v>3</v>
      </c>
      <c r="Y52" s="22">
        <v>3</v>
      </c>
      <c r="AA52" s="22">
        <v>2</v>
      </c>
      <c r="AC52" s="22">
        <v>2</v>
      </c>
      <c r="AE52" s="22">
        <v>2</v>
      </c>
      <c r="AG52" s="22">
        <v>2</v>
      </c>
      <c r="AI52" s="22">
        <v>2</v>
      </c>
      <c r="AK52" s="22">
        <v>2</v>
      </c>
      <c r="AM52" s="22">
        <v>2</v>
      </c>
      <c r="AO52" s="22">
        <v>3</v>
      </c>
      <c r="AQ52" s="22">
        <v>2</v>
      </c>
      <c r="AS52" s="22">
        <v>2</v>
      </c>
      <c r="AU52" s="22">
        <v>2</v>
      </c>
    </row>
    <row r="53" spans="1:47" ht="12.75">
      <c r="A53" s="318" t="s">
        <v>379</v>
      </c>
      <c r="B53" s="275"/>
      <c r="C53" s="68">
        <f ca="1">OFFSET(INDIRECT($C$8),45,0)</f>
        <v>20</v>
      </c>
      <c r="D53" s="45"/>
      <c r="E53" s="57">
        <v>15</v>
      </c>
      <c r="G53" s="57">
        <v>20</v>
      </c>
      <c r="I53" s="57">
        <v>15</v>
      </c>
      <c r="K53" s="57">
        <v>15</v>
      </c>
      <c r="M53" s="57">
        <v>10</v>
      </c>
      <c r="O53" s="57">
        <v>20</v>
      </c>
      <c r="Q53" s="57">
        <v>20</v>
      </c>
      <c r="S53" s="57">
        <v>20</v>
      </c>
      <c r="U53" s="57">
        <v>20</v>
      </c>
      <c r="W53" s="57">
        <v>20</v>
      </c>
      <c r="Y53" s="57">
        <v>20</v>
      </c>
      <c r="AA53" s="57">
        <v>15</v>
      </c>
      <c r="AC53" s="57">
        <v>20</v>
      </c>
      <c r="AE53" s="57">
        <v>20</v>
      </c>
      <c r="AG53" s="57">
        <v>20</v>
      </c>
      <c r="AI53" s="57">
        <v>20</v>
      </c>
      <c r="AK53" s="57">
        <v>20</v>
      </c>
      <c r="AM53" s="57">
        <v>20</v>
      </c>
      <c r="AO53" s="57">
        <v>20</v>
      </c>
      <c r="AQ53" s="57">
        <v>20</v>
      </c>
      <c r="AS53" s="57">
        <v>15</v>
      </c>
      <c r="AU53" s="57">
        <v>15</v>
      </c>
    </row>
    <row r="54" spans="1:47" ht="13.5" thickBot="1">
      <c r="A54" s="316" t="s">
        <v>380</v>
      </c>
      <c r="B54" s="317"/>
      <c r="C54" s="59">
        <f ca="1">OFFSET(INDIRECT($C$8),46,0)</f>
        <v>5</v>
      </c>
      <c r="E54" s="23">
        <v>15</v>
      </c>
      <c r="G54" s="23">
        <v>10</v>
      </c>
      <c r="I54" s="23">
        <v>15</v>
      </c>
      <c r="K54" s="23">
        <v>15</v>
      </c>
      <c r="M54" s="23">
        <v>20</v>
      </c>
      <c r="O54" s="23">
        <v>5</v>
      </c>
      <c r="Q54" s="23">
        <v>10</v>
      </c>
      <c r="S54" s="23">
        <v>10</v>
      </c>
      <c r="U54" s="23">
        <v>5</v>
      </c>
      <c r="W54" s="23">
        <v>5</v>
      </c>
      <c r="Y54" s="23">
        <v>5</v>
      </c>
      <c r="AA54" s="23">
        <v>15</v>
      </c>
      <c r="AC54" s="23">
        <v>10</v>
      </c>
      <c r="AE54" s="23">
        <v>5</v>
      </c>
      <c r="AG54" s="23">
        <v>5</v>
      </c>
      <c r="AI54" s="23">
        <v>5</v>
      </c>
      <c r="AK54" s="23">
        <v>10</v>
      </c>
      <c r="AM54" s="23">
        <v>5</v>
      </c>
      <c r="AO54" s="23">
        <v>10</v>
      </c>
      <c r="AQ54" s="23">
        <v>5</v>
      </c>
      <c r="AS54" s="23">
        <v>15</v>
      </c>
      <c r="AU54" s="23">
        <v>15</v>
      </c>
    </row>
    <row r="55" spans="5:47" ht="13.5" thickBot="1">
      <c r="E55" s="156"/>
      <c r="G55" s="194"/>
      <c r="I55" s="156"/>
      <c r="K55" s="156"/>
      <c r="M55" s="156"/>
      <c r="O55" s="156"/>
      <c r="Q55" s="156"/>
      <c r="S55" s="156"/>
      <c r="U55" s="156"/>
      <c r="W55" s="156"/>
      <c r="Y55" s="156"/>
      <c r="AA55" s="156"/>
      <c r="AC55" s="156"/>
      <c r="AE55" s="156"/>
      <c r="AG55" s="156"/>
      <c r="AI55" s="156"/>
      <c r="AK55" s="156"/>
      <c r="AM55" s="156"/>
      <c r="AO55" s="156"/>
      <c r="AQ55" s="156"/>
      <c r="AS55" s="156"/>
      <c r="AU55" s="156"/>
    </row>
    <row r="56" spans="1:47" ht="13.5" thickBot="1">
      <c r="A56" s="276" t="s">
        <v>381</v>
      </c>
      <c r="B56" s="277"/>
      <c r="C56" s="61">
        <f ca="1">OFFSET(INDIRECT($C$8),48,0)</f>
        <v>5</v>
      </c>
      <c r="E56" s="111">
        <v>5</v>
      </c>
      <c r="G56" s="111">
        <v>10</v>
      </c>
      <c r="I56" s="111">
        <v>5</v>
      </c>
      <c r="K56" s="111">
        <v>5</v>
      </c>
      <c r="M56" s="111">
        <v>5</v>
      </c>
      <c r="O56" s="111">
        <v>5</v>
      </c>
      <c r="Q56" s="111">
        <v>5</v>
      </c>
      <c r="S56" s="111">
        <v>5</v>
      </c>
      <c r="U56" s="111">
        <v>10</v>
      </c>
      <c r="W56" s="111">
        <v>10</v>
      </c>
      <c r="Y56" s="111">
        <v>10</v>
      </c>
      <c r="AA56" s="111">
        <v>5</v>
      </c>
      <c r="AC56" s="111">
        <v>5</v>
      </c>
      <c r="AE56" s="111">
        <v>5</v>
      </c>
      <c r="AG56" s="111">
        <v>5</v>
      </c>
      <c r="AI56" s="111">
        <v>5</v>
      </c>
      <c r="AK56" s="111">
        <v>5</v>
      </c>
      <c r="AM56" s="111">
        <v>5</v>
      </c>
      <c r="AO56" s="111">
        <v>5</v>
      </c>
      <c r="AQ56" s="111">
        <v>5</v>
      </c>
      <c r="AS56" s="111">
        <v>5</v>
      </c>
      <c r="AU56" s="111">
        <v>5</v>
      </c>
    </row>
    <row r="57" spans="5:47" ht="13.5" thickBot="1">
      <c r="E57" s="156"/>
      <c r="G57" s="194"/>
      <c r="I57" s="156"/>
      <c r="K57" s="156"/>
      <c r="M57" s="156"/>
      <c r="O57" s="156"/>
      <c r="Q57" s="156"/>
      <c r="S57" s="156"/>
      <c r="U57" s="156"/>
      <c r="W57" s="156"/>
      <c r="Y57" s="156"/>
      <c r="AA57" s="156"/>
      <c r="AC57" s="156"/>
      <c r="AE57" s="156"/>
      <c r="AG57" s="156"/>
      <c r="AI57" s="156"/>
      <c r="AK57" s="156"/>
      <c r="AM57" s="156"/>
      <c r="AO57" s="156"/>
      <c r="AQ57" s="156"/>
      <c r="AS57" s="156"/>
      <c r="AU57" s="156"/>
    </row>
    <row r="58" spans="1:47" ht="13.5" thickBot="1">
      <c r="A58" s="278" t="s">
        <v>382</v>
      </c>
      <c r="B58" s="279"/>
      <c r="C58" s="61">
        <f ca="1">OFFSET(INDIRECT($C$8),50,0)</f>
        <v>20</v>
      </c>
      <c r="E58" s="111">
        <v>25</v>
      </c>
      <c r="G58" s="111">
        <v>25</v>
      </c>
      <c r="I58" s="111">
        <v>20</v>
      </c>
      <c r="K58" s="111">
        <v>20</v>
      </c>
      <c r="M58" s="111">
        <v>10</v>
      </c>
      <c r="O58" s="111">
        <v>50</v>
      </c>
      <c r="Q58" s="111">
        <v>30</v>
      </c>
      <c r="S58" s="111">
        <v>20</v>
      </c>
      <c r="U58" s="111">
        <v>25</v>
      </c>
      <c r="W58" s="111">
        <v>20</v>
      </c>
      <c r="Y58" s="111">
        <v>20</v>
      </c>
      <c r="AA58" s="111">
        <v>20</v>
      </c>
      <c r="AC58" s="111">
        <v>20</v>
      </c>
      <c r="AE58" s="111">
        <v>20</v>
      </c>
      <c r="AG58" s="111">
        <v>10</v>
      </c>
      <c r="AI58" s="111">
        <v>10</v>
      </c>
      <c r="AK58" s="111">
        <v>20</v>
      </c>
      <c r="AM58" s="111">
        <v>10</v>
      </c>
      <c r="AO58" s="111">
        <v>20</v>
      </c>
      <c r="AQ58" s="111">
        <v>20</v>
      </c>
      <c r="AS58" s="111">
        <v>20</v>
      </c>
      <c r="AU58" s="111">
        <v>20</v>
      </c>
    </row>
    <row r="59" spans="5:47" ht="13.5" thickBot="1">
      <c r="E59" s="156"/>
      <c r="G59" s="194"/>
      <c r="I59" s="156"/>
      <c r="K59" s="156"/>
      <c r="M59" s="156"/>
      <c r="O59" s="156"/>
      <c r="Q59" s="156"/>
      <c r="S59" s="156"/>
      <c r="U59" s="156"/>
      <c r="W59" s="156"/>
      <c r="Y59" s="156"/>
      <c r="AA59" s="156"/>
      <c r="AC59" s="156"/>
      <c r="AE59" s="156"/>
      <c r="AG59" s="156"/>
      <c r="AI59" s="156"/>
      <c r="AK59" s="156"/>
      <c r="AM59" s="156"/>
      <c r="AO59" s="156"/>
      <c r="AQ59" s="156"/>
      <c r="AS59" s="156"/>
      <c r="AU59" s="156"/>
    </row>
    <row r="60" spans="1:47" ht="13.5" thickBot="1">
      <c r="A60" s="276" t="s">
        <v>383</v>
      </c>
      <c r="B60" s="277"/>
      <c r="C60" s="61">
        <f ca="1">OFFSET(INDIRECT($C$8),52,0)</f>
        <v>2</v>
      </c>
      <c r="E60" s="111">
        <v>3</v>
      </c>
      <c r="G60" s="111">
        <v>3</v>
      </c>
      <c r="I60" s="111">
        <v>3</v>
      </c>
      <c r="K60" s="111">
        <v>3</v>
      </c>
      <c r="M60" s="111">
        <v>3</v>
      </c>
      <c r="O60" s="111">
        <v>3</v>
      </c>
      <c r="Q60" s="111">
        <v>3</v>
      </c>
      <c r="S60" s="111">
        <v>3</v>
      </c>
      <c r="U60" s="111">
        <v>3</v>
      </c>
      <c r="W60" s="111">
        <v>3</v>
      </c>
      <c r="Y60" s="111">
        <v>3</v>
      </c>
      <c r="AA60" s="111">
        <v>3</v>
      </c>
      <c r="AC60" s="111">
        <v>3</v>
      </c>
      <c r="AE60" s="111">
        <v>3</v>
      </c>
      <c r="AG60" s="111">
        <v>1</v>
      </c>
      <c r="AI60" s="111">
        <v>3</v>
      </c>
      <c r="AK60" s="111">
        <v>3</v>
      </c>
      <c r="AM60" s="111">
        <v>1</v>
      </c>
      <c r="AO60" s="111">
        <v>1</v>
      </c>
      <c r="AQ60" s="111">
        <v>2</v>
      </c>
      <c r="AS60" s="111">
        <v>3</v>
      </c>
      <c r="AU60" s="111">
        <v>3</v>
      </c>
    </row>
    <row r="61" spans="5:47" ht="12.75">
      <c r="E61" s="156"/>
      <c r="G61" s="194"/>
      <c r="I61" s="156"/>
      <c r="K61" s="156"/>
      <c r="M61" s="156"/>
      <c r="O61" s="156"/>
      <c r="Q61" s="156"/>
      <c r="S61" s="156"/>
      <c r="U61" s="156"/>
      <c r="W61" s="156"/>
      <c r="Y61" s="156"/>
      <c r="AA61" s="156"/>
      <c r="AC61" s="156"/>
      <c r="AE61" s="156"/>
      <c r="AG61" s="156"/>
      <c r="AI61" s="156"/>
      <c r="AK61" s="156"/>
      <c r="AM61" s="156"/>
      <c r="AO61" s="156"/>
      <c r="AQ61" s="156"/>
      <c r="AS61" s="156"/>
      <c r="AU61" s="156"/>
    </row>
    <row r="62" spans="1:47" ht="13.5" thickBot="1">
      <c r="A62" s="280" t="s">
        <v>384</v>
      </c>
      <c r="B62" s="280"/>
      <c r="E62" s="156"/>
      <c r="G62" s="194"/>
      <c r="I62" s="156"/>
      <c r="K62" s="156"/>
      <c r="M62" s="156"/>
      <c r="O62" s="156"/>
      <c r="Q62" s="156"/>
      <c r="S62" s="156"/>
      <c r="U62" s="156"/>
      <c r="W62" s="156"/>
      <c r="Y62" s="156"/>
      <c r="AA62" s="156"/>
      <c r="AC62" s="156"/>
      <c r="AE62" s="156"/>
      <c r="AG62" s="156"/>
      <c r="AI62" s="156"/>
      <c r="AK62" s="156"/>
      <c r="AM62" s="156"/>
      <c r="AO62" s="156"/>
      <c r="AQ62" s="156"/>
      <c r="AS62" s="156"/>
      <c r="AU62" s="156"/>
    </row>
    <row r="63" spans="1:47" ht="13.5" thickBot="1">
      <c r="A63" s="276" t="s">
        <v>385</v>
      </c>
      <c r="B63" s="284"/>
      <c r="C63" s="61">
        <f ca="1">OFFSET(INDIRECT($C$8),55,0)</f>
        <v>0.6</v>
      </c>
      <c r="E63" s="111">
        <v>0.6</v>
      </c>
      <c r="G63" s="111">
        <v>0.6</v>
      </c>
      <c r="I63" s="111">
        <v>0.6</v>
      </c>
      <c r="K63" s="111">
        <v>0.6</v>
      </c>
      <c r="M63" s="111">
        <v>0.6</v>
      </c>
      <c r="O63" s="111">
        <v>0.6</v>
      </c>
      <c r="Q63" s="111">
        <v>0.6</v>
      </c>
      <c r="S63" s="111">
        <v>0.6</v>
      </c>
      <c r="U63" s="111">
        <v>0.6</v>
      </c>
      <c r="W63" s="111">
        <v>0.6</v>
      </c>
      <c r="Y63" s="111">
        <v>0.6</v>
      </c>
      <c r="AA63" s="111">
        <v>0.5</v>
      </c>
      <c r="AC63" s="111">
        <v>0.5</v>
      </c>
      <c r="AE63" s="111">
        <v>0.5</v>
      </c>
      <c r="AG63" s="111">
        <v>0.5</v>
      </c>
      <c r="AI63" s="111">
        <v>0.5</v>
      </c>
      <c r="AK63" s="111">
        <v>0.5</v>
      </c>
      <c r="AM63" s="111">
        <v>0.5</v>
      </c>
      <c r="AO63" s="111">
        <v>0.5</v>
      </c>
      <c r="AQ63" s="111">
        <v>0.6</v>
      </c>
      <c r="AS63" s="111">
        <v>0.6</v>
      </c>
      <c r="AU63" s="111">
        <v>0.6</v>
      </c>
    </row>
    <row r="64" spans="1:48" ht="12.75">
      <c r="A64" s="282" t="s">
        <v>386</v>
      </c>
      <c r="B64" s="283"/>
      <c r="C64" s="68">
        <f ca="1">OFFSET(INDIRECT($C$8),56,0)</f>
        <v>2</v>
      </c>
      <c r="D64" s="68">
        <f ca="1">OFFSET(INDIRECT($C$8),56,1)</f>
        <v>0</v>
      </c>
      <c r="E64" s="22">
        <v>2</v>
      </c>
      <c r="F64" s="57">
        <v>5</v>
      </c>
      <c r="G64" s="57">
        <v>2</v>
      </c>
      <c r="H64" s="57">
        <v>5</v>
      </c>
      <c r="I64" s="22">
        <v>2</v>
      </c>
      <c r="J64" s="57"/>
      <c r="K64" s="22">
        <v>2</v>
      </c>
      <c r="L64" s="57">
        <v>5</v>
      </c>
      <c r="M64" s="22">
        <v>2</v>
      </c>
      <c r="N64" s="57">
        <v>5</v>
      </c>
      <c r="O64" s="22">
        <v>2</v>
      </c>
      <c r="P64" s="57">
        <v>5</v>
      </c>
      <c r="Q64" s="22">
        <v>2</v>
      </c>
      <c r="R64" s="57"/>
      <c r="S64" s="22">
        <v>2</v>
      </c>
      <c r="T64" s="57">
        <v>5</v>
      </c>
      <c r="U64" s="22">
        <v>2</v>
      </c>
      <c r="V64" s="57">
        <v>5</v>
      </c>
      <c r="W64" s="22">
        <v>2</v>
      </c>
      <c r="X64" s="57"/>
      <c r="Y64" s="22">
        <v>2</v>
      </c>
      <c r="Z64" s="57">
        <v>5</v>
      </c>
      <c r="AA64" s="22">
        <v>3</v>
      </c>
      <c r="AB64" s="57"/>
      <c r="AC64" s="22">
        <v>2</v>
      </c>
      <c r="AD64" s="57">
        <v>5</v>
      </c>
      <c r="AE64" s="22">
        <v>3</v>
      </c>
      <c r="AF64" s="57"/>
      <c r="AG64" s="22">
        <v>3</v>
      </c>
      <c r="AH64" s="57"/>
      <c r="AI64" s="22">
        <v>3</v>
      </c>
      <c r="AJ64" s="57"/>
      <c r="AK64" s="22">
        <v>2</v>
      </c>
      <c r="AL64" s="57">
        <v>5</v>
      </c>
      <c r="AM64" s="22">
        <v>3</v>
      </c>
      <c r="AN64" s="57"/>
      <c r="AO64" s="22">
        <v>2</v>
      </c>
      <c r="AP64" s="57">
        <v>5</v>
      </c>
      <c r="AQ64" s="22">
        <v>2</v>
      </c>
      <c r="AR64" s="57"/>
      <c r="AS64" s="22">
        <v>2</v>
      </c>
      <c r="AT64" s="57"/>
      <c r="AU64" s="22">
        <v>2</v>
      </c>
      <c r="AV64" s="57">
        <v>5</v>
      </c>
    </row>
    <row r="65" spans="1:48" ht="12.75">
      <c r="A65" s="282" t="s">
        <v>398</v>
      </c>
      <c r="B65" s="283"/>
      <c r="C65" s="69">
        <f ca="1">OFFSET(INDIRECT($C$8),57,0)</f>
        <v>2</v>
      </c>
      <c r="D65" s="69">
        <f ca="1">OFFSET(INDIRECT($C$8),57,1)</f>
        <v>0</v>
      </c>
      <c r="E65" s="22">
        <v>2</v>
      </c>
      <c r="F65" s="22">
        <v>5</v>
      </c>
      <c r="G65" s="22">
        <v>3</v>
      </c>
      <c r="H65" s="22"/>
      <c r="I65" s="22">
        <v>2</v>
      </c>
      <c r="J65" s="22">
        <v>5</v>
      </c>
      <c r="K65" s="22">
        <v>2</v>
      </c>
      <c r="L65" s="22"/>
      <c r="M65" s="22">
        <v>2</v>
      </c>
      <c r="N65" s="22">
        <v>5</v>
      </c>
      <c r="O65" s="22">
        <v>2</v>
      </c>
      <c r="P65" s="22"/>
      <c r="Q65" s="22">
        <v>2</v>
      </c>
      <c r="R65" s="22"/>
      <c r="S65" s="22">
        <v>2</v>
      </c>
      <c r="T65" s="22"/>
      <c r="U65" s="22">
        <v>3</v>
      </c>
      <c r="V65" s="22"/>
      <c r="W65" s="22">
        <v>3</v>
      </c>
      <c r="X65" s="22"/>
      <c r="Y65" s="22">
        <v>3</v>
      </c>
      <c r="Z65" s="22"/>
      <c r="AA65" s="22">
        <v>3</v>
      </c>
      <c r="AB65" s="22"/>
      <c r="AC65" s="22">
        <v>2</v>
      </c>
      <c r="AD65" s="22">
        <v>5</v>
      </c>
      <c r="AE65" s="22">
        <v>3</v>
      </c>
      <c r="AF65" s="22"/>
      <c r="AG65" s="22">
        <v>3</v>
      </c>
      <c r="AH65" s="22"/>
      <c r="AI65" s="22">
        <v>3</v>
      </c>
      <c r="AJ65" s="22"/>
      <c r="AK65" s="22">
        <v>2</v>
      </c>
      <c r="AL65" s="22">
        <v>5</v>
      </c>
      <c r="AM65" s="22">
        <v>3</v>
      </c>
      <c r="AN65" s="22"/>
      <c r="AO65" s="22">
        <v>2</v>
      </c>
      <c r="AP65" s="22">
        <v>5</v>
      </c>
      <c r="AQ65" s="22">
        <v>2</v>
      </c>
      <c r="AR65" s="22"/>
      <c r="AS65" s="22">
        <v>2</v>
      </c>
      <c r="AT65" s="22">
        <v>5</v>
      </c>
      <c r="AU65" s="22">
        <v>2</v>
      </c>
      <c r="AV65" s="22"/>
    </row>
    <row r="66" spans="1:48" ht="12.75">
      <c r="A66" s="282" t="s">
        <v>388</v>
      </c>
      <c r="B66" s="283"/>
      <c r="C66" s="69">
        <f ca="1">OFFSET(INDIRECT($C$8),58,0)</f>
        <v>2</v>
      </c>
      <c r="D66" s="69">
        <f ca="1">OFFSET(INDIRECT($C$8),58,1)</f>
        <v>0</v>
      </c>
      <c r="E66" s="22">
        <v>2</v>
      </c>
      <c r="F66" s="22"/>
      <c r="G66" s="22">
        <v>2</v>
      </c>
      <c r="H66" s="22">
        <v>5</v>
      </c>
      <c r="I66" s="22">
        <v>2</v>
      </c>
      <c r="J66" s="22"/>
      <c r="K66" s="22">
        <v>2</v>
      </c>
      <c r="L66" s="22"/>
      <c r="M66" s="22">
        <v>2</v>
      </c>
      <c r="N66" s="22"/>
      <c r="O66" s="22">
        <v>2</v>
      </c>
      <c r="P66" s="22"/>
      <c r="Q66" s="22">
        <v>2</v>
      </c>
      <c r="R66" s="22"/>
      <c r="S66" s="22">
        <v>2</v>
      </c>
      <c r="T66" s="22"/>
      <c r="U66" s="22">
        <v>2</v>
      </c>
      <c r="V66" s="22">
        <v>5</v>
      </c>
      <c r="W66" s="22">
        <v>2</v>
      </c>
      <c r="X66" s="22">
        <v>5</v>
      </c>
      <c r="Y66" s="22">
        <v>2</v>
      </c>
      <c r="Z66" s="22"/>
      <c r="AA66" s="22">
        <v>3</v>
      </c>
      <c r="AB66" s="22"/>
      <c r="AC66" s="22">
        <v>2</v>
      </c>
      <c r="AD66" s="22">
        <v>5</v>
      </c>
      <c r="AE66" s="22">
        <v>2</v>
      </c>
      <c r="AF66" s="22"/>
      <c r="AG66" s="22">
        <v>2</v>
      </c>
      <c r="AH66" s="22"/>
      <c r="AI66" s="22">
        <v>2</v>
      </c>
      <c r="AJ66" s="22"/>
      <c r="AK66" s="22">
        <v>2</v>
      </c>
      <c r="AL66" s="22">
        <v>5</v>
      </c>
      <c r="AM66" s="22">
        <v>2</v>
      </c>
      <c r="AN66" s="22"/>
      <c r="AO66" s="22">
        <v>2</v>
      </c>
      <c r="AP66" s="22">
        <v>5</v>
      </c>
      <c r="AQ66" s="22">
        <v>2</v>
      </c>
      <c r="AR66" s="22"/>
      <c r="AS66" s="22">
        <v>2</v>
      </c>
      <c r="AT66" s="22"/>
      <c r="AU66" s="22">
        <v>2</v>
      </c>
      <c r="AV66" s="22"/>
    </row>
    <row r="67" spans="1:48" ht="13.5" thickBot="1">
      <c r="A67" s="316" t="s">
        <v>387</v>
      </c>
      <c r="B67" s="281"/>
      <c r="C67" s="59">
        <f ca="1">OFFSET(INDIRECT($C$8),59,0)</f>
        <v>2</v>
      </c>
      <c r="D67" s="59">
        <f ca="1">OFFSET(INDIRECT($C$8),59,1)</f>
        <v>0</v>
      </c>
      <c r="E67" s="23">
        <v>2</v>
      </c>
      <c r="F67" s="23">
        <v>5</v>
      </c>
      <c r="G67" s="23">
        <v>2</v>
      </c>
      <c r="H67" s="23"/>
      <c r="I67" s="23">
        <v>2</v>
      </c>
      <c r="J67" s="23">
        <v>10</v>
      </c>
      <c r="K67" s="23">
        <v>2</v>
      </c>
      <c r="L67" s="23">
        <v>10</v>
      </c>
      <c r="M67" s="23">
        <v>1</v>
      </c>
      <c r="N67" s="23">
        <v>10</v>
      </c>
      <c r="O67" s="23">
        <v>2</v>
      </c>
      <c r="P67" s="23"/>
      <c r="Q67" s="23">
        <v>2</v>
      </c>
      <c r="R67" s="23"/>
      <c r="S67" s="23">
        <v>2</v>
      </c>
      <c r="T67" s="23"/>
      <c r="U67" s="23">
        <v>2</v>
      </c>
      <c r="V67" s="23"/>
      <c r="W67" s="23">
        <v>3</v>
      </c>
      <c r="X67" s="23"/>
      <c r="Y67" s="23">
        <v>3</v>
      </c>
      <c r="Z67" s="23"/>
      <c r="AA67" s="23">
        <v>3</v>
      </c>
      <c r="AB67" s="23"/>
      <c r="AC67" s="23">
        <v>2</v>
      </c>
      <c r="AD67" s="23"/>
      <c r="AE67" s="23">
        <v>3</v>
      </c>
      <c r="AF67" s="23"/>
      <c r="AG67" s="23">
        <v>3</v>
      </c>
      <c r="AH67" s="23"/>
      <c r="AI67" s="23">
        <v>3</v>
      </c>
      <c r="AJ67" s="23"/>
      <c r="AK67" s="23">
        <v>2</v>
      </c>
      <c r="AL67" s="23"/>
      <c r="AM67" s="23">
        <v>3</v>
      </c>
      <c r="AN67" s="23"/>
      <c r="AO67" s="23">
        <v>2</v>
      </c>
      <c r="AP67" s="23"/>
      <c r="AQ67" s="23">
        <v>2</v>
      </c>
      <c r="AR67" s="23"/>
      <c r="AS67" s="23">
        <v>2</v>
      </c>
      <c r="AT67" s="23">
        <v>10</v>
      </c>
      <c r="AU67" s="23">
        <v>2</v>
      </c>
      <c r="AV67" s="23">
        <v>10</v>
      </c>
    </row>
    <row r="68" spans="1:47" ht="12.75">
      <c r="A68" s="285" t="s">
        <v>389</v>
      </c>
      <c r="B68" s="286"/>
      <c r="C68" s="68">
        <f ca="1">OFFSET(INDIRECT($C$8),60,0)</f>
        <v>2</v>
      </c>
      <c r="E68" s="57">
        <v>2</v>
      </c>
      <c r="G68" s="57">
        <v>2</v>
      </c>
      <c r="I68" s="57">
        <v>2</v>
      </c>
      <c r="K68" s="57">
        <v>2</v>
      </c>
      <c r="M68" s="57">
        <v>3</v>
      </c>
      <c r="O68" s="57">
        <v>1</v>
      </c>
      <c r="Q68" s="57">
        <v>2</v>
      </c>
      <c r="S68" s="57">
        <v>2</v>
      </c>
      <c r="U68" s="57">
        <v>2</v>
      </c>
      <c r="W68" s="57">
        <v>2</v>
      </c>
      <c r="Y68" s="57">
        <v>2</v>
      </c>
      <c r="AA68" s="57">
        <v>3</v>
      </c>
      <c r="AC68" s="57">
        <v>2</v>
      </c>
      <c r="AE68" s="57">
        <v>2</v>
      </c>
      <c r="AG68" s="57">
        <v>3</v>
      </c>
      <c r="AI68" s="57">
        <v>3</v>
      </c>
      <c r="AK68" s="57">
        <v>2</v>
      </c>
      <c r="AM68" s="57">
        <v>3</v>
      </c>
      <c r="AO68" s="57">
        <v>2</v>
      </c>
      <c r="AQ68" s="57">
        <v>2</v>
      </c>
      <c r="AS68" s="57">
        <v>2</v>
      </c>
      <c r="AU68" s="57">
        <v>2</v>
      </c>
    </row>
    <row r="69" spans="1:47" ht="13.5" thickBot="1">
      <c r="A69" s="316" t="s">
        <v>390</v>
      </c>
      <c r="B69" s="281"/>
      <c r="C69" s="59">
        <f ca="1">OFFSET(INDIRECT($C$8),61,0)</f>
        <v>20</v>
      </c>
      <c r="E69" s="23">
        <v>20</v>
      </c>
      <c r="G69" s="23">
        <v>20</v>
      </c>
      <c r="I69" s="23">
        <v>20</v>
      </c>
      <c r="K69" s="23">
        <v>20</v>
      </c>
      <c r="M69" s="23">
        <v>30</v>
      </c>
      <c r="O69" s="23">
        <v>10</v>
      </c>
      <c r="Q69" s="23">
        <v>15</v>
      </c>
      <c r="S69" s="23">
        <v>25</v>
      </c>
      <c r="U69" s="23">
        <v>20</v>
      </c>
      <c r="W69" s="23">
        <v>25</v>
      </c>
      <c r="Y69" s="23">
        <v>25</v>
      </c>
      <c r="AA69" s="23">
        <v>30</v>
      </c>
      <c r="AC69" s="23">
        <v>25</v>
      </c>
      <c r="AE69" s="23">
        <v>25</v>
      </c>
      <c r="AG69" s="23">
        <v>30</v>
      </c>
      <c r="AI69" s="23">
        <v>30</v>
      </c>
      <c r="AK69" s="23">
        <v>20</v>
      </c>
      <c r="AM69" s="23">
        <v>30</v>
      </c>
      <c r="AO69" s="23">
        <v>25</v>
      </c>
      <c r="AQ69" s="23">
        <v>20</v>
      </c>
      <c r="AS69" s="23">
        <v>20</v>
      </c>
      <c r="AU69" s="23">
        <v>20</v>
      </c>
    </row>
    <row r="70" ht="13.5" thickBot="1">
      <c r="C70" s="2"/>
    </row>
    <row r="71" spans="1:47" ht="13.5" thickBot="1">
      <c r="A71" s="285" t="s">
        <v>391</v>
      </c>
      <c r="B71" s="286"/>
      <c r="C71" s="61">
        <f ca="1">OFFSET(INDIRECT($C$8),63,0)</f>
        <v>0.6</v>
      </c>
      <c r="E71" s="111">
        <v>0.5</v>
      </c>
      <c r="G71" s="191">
        <v>0.5</v>
      </c>
      <c r="I71" s="111">
        <v>0.5</v>
      </c>
      <c r="K71" s="111">
        <v>0.5</v>
      </c>
      <c r="M71" s="111">
        <v>0.5</v>
      </c>
      <c r="O71" s="111">
        <v>0.5</v>
      </c>
      <c r="Q71" s="111">
        <v>0.5</v>
      </c>
      <c r="S71" s="111">
        <v>0.5</v>
      </c>
      <c r="U71" s="111">
        <v>0.5</v>
      </c>
      <c r="W71" s="111">
        <v>0.5</v>
      </c>
      <c r="Y71" s="111">
        <v>0.5</v>
      </c>
      <c r="AA71" s="111">
        <v>0.6</v>
      </c>
      <c r="AC71" s="111">
        <v>0.5</v>
      </c>
      <c r="AE71" s="111">
        <v>0.6</v>
      </c>
      <c r="AG71" s="111">
        <v>0.5</v>
      </c>
      <c r="AI71" s="111">
        <v>0.6</v>
      </c>
      <c r="AK71" s="111">
        <v>0.5</v>
      </c>
      <c r="AM71" s="111">
        <v>0.5</v>
      </c>
      <c r="AO71" s="111">
        <v>0.5</v>
      </c>
      <c r="AQ71" s="111">
        <v>0.6</v>
      </c>
      <c r="AS71" s="111">
        <v>0.5</v>
      </c>
      <c r="AU71" s="111">
        <v>0.5</v>
      </c>
    </row>
    <row r="72" spans="1:47" ht="12.75">
      <c r="A72" s="285" t="s">
        <v>392</v>
      </c>
      <c r="B72" s="286"/>
      <c r="C72" s="68">
        <f ca="1">OFFSET(INDIRECT($C$8),64,0)</f>
        <v>2</v>
      </c>
      <c r="E72" s="57">
        <v>3</v>
      </c>
      <c r="G72" s="159">
        <v>3</v>
      </c>
      <c r="I72" s="57">
        <v>2</v>
      </c>
      <c r="K72" s="57">
        <v>2</v>
      </c>
      <c r="M72" s="57">
        <v>3</v>
      </c>
      <c r="O72" s="57">
        <v>3</v>
      </c>
      <c r="Q72" s="57">
        <v>3</v>
      </c>
      <c r="S72" s="57">
        <v>3</v>
      </c>
      <c r="U72" s="57">
        <v>3</v>
      </c>
      <c r="W72" s="57">
        <v>3</v>
      </c>
      <c r="Y72" s="57">
        <v>3</v>
      </c>
      <c r="AA72" s="57">
        <v>1</v>
      </c>
      <c r="AC72" s="57">
        <v>1</v>
      </c>
      <c r="AE72" s="57">
        <v>1</v>
      </c>
      <c r="AG72" s="57">
        <v>1</v>
      </c>
      <c r="AI72" s="57">
        <v>1</v>
      </c>
      <c r="AK72" s="57">
        <v>1</v>
      </c>
      <c r="AM72" s="57">
        <v>3</v>
      </c>
      <c r="AO72" s="57">
        <v>3</v>
      </c>
      <c r="AQ72" s="57">
        <v>2</v>
      </c>
      <c r="AS72" s="57">
        <v>2</v>
      </c>
      <c r="AU72" s="57">
        <v>2</v>
      </c>
    </row>
    <row r="73" spans="1:47" ht="12.75">
      <c r="A73" s="282" t="s">
        <v>393</v>
      </c>
      <c r="B73" s="283"/>
      <c r="C73" s="69">
        <f ca="1">OFFSET(INDIRECT($C$8),65,0)</f>
        <v>60</v>
      </c>
      <c r="E73" s="22">
        <v>70</v>
      </c>
      <c r="G73" s="189">
        <v>70</v>
      </c>
      <c r="I73" s="22">
        <v>60</v>
      </c>
      <c r="K73" s="22">
        <v>60</v>
      </c>
      <c r="M73" s="22">
        <v>70</v>
      </c>
      <c r="O73" s="22">
        <v>70</v>
      </c>
      <c r="Q73" s="22">
        <v>70</v>
      </c>
      <c r="S73" s="22">
        <v>70</v>
      </c>
      <c r="U73" s="22">
        <v>70</v>
      </c>
      <c r="W73" s="22">
        <v>70</v>
      </c>
      <c r="Y73" s="22">
        <v>70</v>
      </c>
      <c r="AA73" s="22">
        <v>50</v>
      </c>
      <c r="AC73" s="22">
        <v>50</v>
      </c>
      <c r="AE73" s="22">
        <v>60</v>
      </c>
      <c r="AG73" s="22">
        <v>50</v>
      </c>
      <c r="AI73" s="22">
        <v>60</v>
      </c>
      <c r="AK73" s="22">
        <v>60</v>
      </c>
      <c r="AM73" s="22">
        <v>70</v>
      </c>
      <c r="AO73" s="22">
        <v>70</v>
      </c>
      <c r="AQ73" s="22">
        <v>60</v>
      </c>
      <c r="AS73" s="22">
        <v>60</v>
      </c>
      <c r="AU73" s="22">
        <v>60</v>
      </c>
    </row>
    <row r="74" spans="1:47" ht="13.5" thickBot="1">
      <c r="A74" s="316" t="s">
        <v>394</v>
      </c>
      <c r="B74" s="281"/>
      <c r="C74" s="59">
        <f ca="1">OFFSET(INDIRECT($C$8),66,0)</f>
        <v>2</v>
      </c>
      <c r="E74" s="23">
        <v>3</v>
      </c>
      <c r="G74" s="190">
        <v>3</v>
      </c>
      <c r="I74" s="23">
        <v>3</v>
      </c>
      <c r="K74" s="23">
        <v>3</v>
      </c>
      <c r="M74" s="23">
        <v>3</v>
      </c>
      <c r="O74" s="23">
        <v>3</v>
      </c>
      <c r="Q74" s="23">
        <v>3</v>
      </c>
      <c r="S74" s="23">
        <v>3</v>
      </c>
      <c r="U74" s="23">
        <v>3</v>
      </c>
      <c r="W74" s="23">
        <v>3</v>
      </c>
      <c r="Y74" s="23">
        <v>3</v>
      </c>
      <c r="AA74" s="23">
        <v>2</v>
      </c>
      <c r="AC74" s="23">
        <v>2</v>
      </c>
      <c r="AE74" s="23">
        <v>2</v>
      </c>
      <c r="AG74" s="23">
        <v>2</v>
      </c>
      <c r="AI74" s="23">
        <v>3</v>
      </c>
      <c r="AK74" s="23">
        <v>3</v>
      </c>
      <c r="AM74" s="23">
        <v>3</v>
      </c>
      <c r="AO74" s="23">
        <v>3</v>
      </c>
      <c r="AQ74" s="23">
        <v>2</v>
      </c>
      <c r="AS74" s="23">
        <v>3</v>
      </c>
      <c r="AU74" s="23">
        <v>3</v>
      </c>
    </row>
    <row r="75" spans="1:48" ht="12.75">
      <c r="A75" s="282" t="s">
        <v>144</v>
      </c>
      <c r="B75" s="283"/>
      <c r="C75" s="68">
        <f ca="1">OFFSET(INDIRECT($C$8),67,0)</f>
        <v>2</v>
      </c>
      <c r="D75" s="68">
        <f ca="1">OFFSET(INDIRECT($C$8),67,1)</f>
        <v>0</v>
      </c>
      <c r="E75" s="57">
        <v>3</v>
      </c>
      <c r="G75" s="159">
        <v>3</v>
      </c>
      <c r="I75" s="57">
        <v>3</v>
      </c>
      <c r="J75" s="57"/>
      <c r="K75" s="57">
        <v>3</v>
      </c>
      <c r="L75" s="57"/>
      <c r="M75" s="57">
        <v>3</v>
      </c>
      <c r="N75" s="57"/>
      <c r="O75" s="57">
        <v>3</v>
      </c>
      <c r="P75" s="57"/>
      <c r="Q75" s="57">
        <v>3</v>
      </c>
      <c r="R75" s="57"/>
      <c r="S75" s="57">
        <v>3</v>
      </c>
      <c r="T75" s="57"/>
      <c r="U75" s="57">
        <v>3</v>
      </c>
      <c r="V75" s="57"/>
      <c r="W75" s="57">
        <v>3</v>
      </c>
      <c r="X75" s="57"/>
      <c r="Y75" s="57">
        <v>3</v>
      </c>
      <c r="Z75" s="57"/>
      <c r="AA75" s="57">
        <v>2</v>
      </c>
      <c r="AB75" s="57"/>
      <c r="AC75" s="57">
        <v>2</v>
      </c>
      <c r="AD75" s="57"/>
      <c r="AE75" s="57">
        <v>3</v>
      </c>
      <c r="AF75" s="57"/>
      <c r="AG75" s="57">
        <v>2</v>
      </c>
      <c r="AH75" s="57"/>
      <c r="AI75" s="57">
        <v>1</v>
      </c>
      <c r="AJ75" s="57">
        <v>10</v>
      </c>
      <c r="AK75" s="57">
        <v>1</v>
      </c>
      <c r="AL75" s="57">
        <v>5</v>
      </c>
      <c r="AM75" s="57">
        <v>3</v>
      </c>
      <c r="AN75" s="57"/>
      <c r="AO75" s="57">
        <v>3</v>
      </c>
      <c r="AP75" s="57"/>
      <c r="AQ75" s="57">
        <v>2</v>
      </c>
      <c r="AR75" s="57"/>
      <c r="AS75" s="57">
        <v>3</v>
      </c>
      <c r="AT75" s="57"/>
      <c r="AU75" s="57">
        <v>3</v>
      </c>
      <c r="AV75" s="57"/>
    </row>
    <row r="76" spans="1:48" ht="12.75">
      <c r="A76" s="282" t="s">
        <v>145</v>
      </c>
      <c r="B76" s="283"/>
      <c r="C76" s="69">
        <f ca="1">OFFSET(INDIRECT($C$8),68,0)</f>
        <v>2</v>
      </c>
      <c r="D76" s="69">
        <f ca="1">OFFSET(INDIRECT($C$8),68,1)</f>
        <v>0</v>
      </c>
      <c r="E76" s="22">
        <v>3</v>
      </c>
      <c r="G76" s="189">
        <v>3</v>
      </c>
      <c r="I76" s="22">
        <v>3</v>
      </c>
      <c r="J76" s="22"/>
      <c r="K76" s="22">
        <v>1</v>
      </c>
      <c r="L76" s="22">
        <v>10</v>
      </c>
      <c r="M76" s="22">
        <v>3</v>
      </c>
      <c r="N76" s="22">
        <v>0</v>
      </c>
      <c r="O76" s="22">
        <v>3</v>
      </c>
      <c r="P76" s="22">
        <v>0</v>
      </c>
      <c r="Q76" s="22">
        <v>3</v>
      </c>
      <c r="R76" s="22">
        <v>0</v>
      </c>
      <c r="S76" s="22">
        <v>3</v>
      </c>
      <c r="T76" s="22">
        <v>0</v>
      </c>
      <c r="U76" s="22">
        <v>3</v>
      </c>
      <c r="V76" s="22">
        <v>0</v>
      </c>
      <c r="W76" s="22">
        <v>3</v>
      </c>
      <c r="X76" s="22">
        <v>0</v>
      </c>
      <c r="Y76" s="22">
        <v>3</v>
      </c>
      <c r="Z76" s="22">
        <v>0</v>
      </c>
      <c r="AA76" s="22">
        <v>2</v>
      </c>
      <c r="AB76" s="22"/>
      <c r="AC76" s="22">
        <v>2</v>
      </c>
      <c r="AD76" s="22"/>
      <c r="AE76" s="22">
        <v>3</v>
      </c>
      <c r="AF76" s="22"/>
      <c r="AG76" s="22">
        <v>2</v>
      </c>
      <c r="AH76" s="22"/>
      <c r="AI76" s="22">
        <v>1</v>
      </c>
      <c r="AJ76" s="22">
        <v>10</v>
      </c>
      <c r="AK76" s="22">
        <v>1</v>
      </c>
      <c r="AL76" s="22">
        <v>5</v>
      </c>
      <c r="AM76" s="22">
        <v>3</v>
      </c>
      <c r="AN76" s="22"/>
      <c r="AO76" s="22">
        <v>3</v>
      </c>
      <c r="AP76" s="22"/>
      <c r="AQ76" s="22">
        <v>2</v>
      </c>
      <c r="AR76" s="22"/>
      <c r="AS76" s="22">
        <v>3</v>
      </c>
      <c r="AT76" s="22"/>
      <c r="AU76" s="22">
        <v>3</v>
      </c>
      <c r="AV76" s="22"/>
    </row>
    <row r="77" spans="1:48" ht="12.75">
      <c r="A77" s="282" t="s">
        <v>146</v>
      </c>
      <c r="B77" s="283"/>
      <c r="C77" s="69">
        <f ca="1">OFFSET(INDIRECT($C$8),69,0)</f>
        <v>2</v>
      </c>
      <c r="D77" s="69">
        <f ca="1">OFFSET(INDIRECT($C$8),69,1)</f>
        <v>0</v>
      </c>
      <c r="E77" s="22">
        <v>3</v>
      </c>
      <c r="G77" s="189">
        <v>3</v>
      </c>
      <c r="I77" s="22">
        <v>3</v>
      </c>
      <c r="J77" s="22"/>
      <c r="K77" s="22">
        <v>3</v>
      </c>
      <c r="L77" s="22"/>
      <c r="M77" s="22">
        <v>3</v>
      </c>
      <c r="N77" s="22"/>
      <c r="O77" s="22">
        <v>3</v>
      </c>
      <c r="P77" s="22"/>
      <c r="Q77" s="22">
        <v>3</v>
      </c>
      <c r="R77" s="22"/>
      <c r="S77" s="22">
        <v>3</v>
      </c>
      <c r="T77" s="22"/>
      <c r="U77" s="22">
        <v>3</v>
      </c>
      <c r="V77" s="22"/>
      <c r="W77" s="22">
        <v>3</v>
      </c>
      <c r="X77" s="22"/>
      <c r="Y77" s="22">
        <v>3</v>
      </c>
      <c r="Z77" s="22"/>
      <c r="AA77" s="22">
        <v>2</v>
      </c>
      <c r="AB77" s="22"/>
      <c r="AC77" s="22">
        <v>2</v>
      </c>
      <c r="AD77" s="22"/>
      <c r="AE77" s="22">
        <v>3</v>
      </c>
      <c r="AF77" s="22"/>
      <c r="AG77" s="22">
        <v>2</v>
      </c>
      <c r="AH77" s="22"/>
      <c r="AI77" s="22">
        <v>1</v>
      </c>
      <c r="AJ77" s="22">
        <v>10</v>
      </c>
      <c r="AK77" s="22">
        <v>1</v>
      </c>
      <c r="AL77" s="22">
        <v>5</v>
      </c>
      <c r="AM77" s="22">
        <v>3</v>
      </c>
      <c r="AN77" s="22"/>
      <c r="AO77" s="22">
        <v>3</v>
      </c>
      <c r="AP77" s="22"/>
      <c r="AQ77" s="22">
        <v>2</v>
      </c>
      <c r="AR77" s="22"/>
      <c r="AS77" s="22">
        <v>3</v>
      </c>
      <c r="AT77" s="22"/>
      <c r="AU77" s="22">
        <v>3</v>
      </c>
      <c r="AV77" s="22"/>
    </row>
    <row r="78" spans="1:48" ht="13.5" thickBot="1">
      <c r="A78" s="316" t="s">
        <v>147</v>
      </c>
      <c r="B78" s="281"/>
      <c r="C78" s="59">
        <f ca="1">OFFSET(INDIRECT($C$8),70,0)</f>
        <v>2</v>
      </c>
      <c r="D78" s="59">
        <f ca="1">OFFSET(INDIRECT($C$8),70,1)</f>
        <v>0</v>
      </c>
      <c r="E78" s="23">
        <v>3</v>
      </c>
      <c r="G78" s="190">
        <v>3</v>
      </c>
      <c r="I78" s="23">
        <v>1</v>
      </c>
      <c r="J78" s="23">
        <v>10</v>
      </c>
      <c r="K78" s="23">
        <v>3</v>
      </c>
      <c r="L78" s="23"/>
      <c r="M78" s="23">
        <v>3</v>
      </c>
      <c r="N78" s="23"/>
      <c r="O78" s="23">
        <v>3</v>
      </c>
      <c r="P78" s="23"/>
      <c r="Q78" s="23">
        <v>3</v>
      </c>
      <c r="R78" s="23"/>
      <c r="S78" s="23">
        <v>3</v>
      </c>
      <c r="T78" s="23"/>
      <c r="U78" s="23">
        <v>3</v>
      </c>
      <c r="V78" s="23"/>
      <c r="W78" s="23">
        <v>3</v>
      </c>
      <c r="X78" s="23"/>
      <c r="Y78" s="23">
        <v>3</v>
      </c>
      <c r="Z78" s="23"/>
      <c r="AA78" s="23">
        <v>2</v>
      </c>
      <c r="AB78" s="23"/>
      <c r="AC78" s="23">
        <v>2</v>
      </c>
      <c r="AD78" s="23"/>
      <c r="AE78" s="23">
        <v>3</v>
      </c>
      <c r="AF78" s="23"/>
      <c r="AG78" s="23">
        <v>2</v>
      </c>
      <c r="AH78" s="23"/>
      <c r="AI78" s="23">
        <v>1</v>
      </c>
      <c r="AJ78" s="23">
        <v>10</v>
      </c>
      <c r="AK78" s="23">
        <v>1</v>
      </c>
      <c r="AL78" s="23">
        <v>5</v>
      </c>
      <c r="AM78" s="23">
        <v>3</v>
      </c>
      <c r="AN78" s="23"/>
      <c r="AO78" s="23">
        <v>3</v>
      </c>
      <c r="AP78" s="23"/>
      <c r="AQ78" s="23">
        <v>2</v>
      </c>
      <c r="AR78" s="23"/>
      <c r="AS78" s="23">
        <v>3</v>
      </c>
      <c r="AT78" s="23"/>
      <c r="AU78" s="23">
        <v>3</v>
      </c>
      <c r="AV78" s="23"/>
    </row>
    <row r="79" ht="13.5" thickBot="1">
      <c r="C79" s="2"/>
    </row>
    <row r="80" spans="1:47" ht="13.5" thickBot="1">
      <c r="A80" s="278" t="s">
        <v>395</v>
      </c>
      <c r="B80" s="287"/>
      <c r="C80" s="61">
        <f ca="1">OFFSET(INDIRECT($C$8),72,0)</f>
        <v>0.6</v>
      </c>
      <c r="E80" s="57">
        <v>0.5</v>
      </c>
      <c r="G80" s="191">
        <v>0.5</v>
      </c>
      <c r="I80" s="57">
        <v>0.5</v>
      </c>
      <c r="K80" s="57">
        <v>0.5</v>
      </c>
      <c r="M80" s="57">
        <v>0.5</v>
      </c>
      <c r="O80" s="57">
        <v>0.5</v>
      </c>
      <c r="Q80" s="57">
        <v>0.5</v>
      </c>
      <c r="S80" s="57">
        <v>0.5</v>
      </c>
      <c r="U80" s="57">
        <v>0.5</v>
      </c>
      <c r="W80" s="57">
        <v>0.5</v>
      </c>
      <c r="Y80" s="57">
        <v>0.5</v>
      </c>
      <c r="AA80" s="57">
        <v>0.5</v>
      </c>
      <c r="AC80" s="57">
        <v>0.5</v>
      </c>
      <c r="AE80" s="57">
        <v>0.5</v>
      </c>
      <c r="AG80" s="57">
        <v>0.5</v>
      </c>
      <c r="AI80" s="57">
        <v>0.5</v>
      </c>
      <c r="AK80" s="57">
        <v>0.5</v>
      </c>
      <c r="AM80" s="57">
        <v>0.6</v>
      </c>
      <c r="AO80" s="57">
        <v>0.5</v>
      </c>
      <c r="AQ80" s="57">
        <v>0.6</v>
      </c>
      <c r="AS80" s="57">
        <v>0.5</v>
      </c>
      <c r="AU80" s="57">
        <v>0.5</v>
      </c>
    </row>
    <row r="81" spans="1:47" ht="12.75">
      <c r="A81" s="285" t="s">
        <v>115</v>
      </c>
      <c r="B81" s="286"/>
      <c r="C81" s="68">
        <f ca="1">OFFSET(INDIRECT($C$8),73,0)</f>
        <v>20</v>
      </c>
      <c r="E81" s="57">
        <v>20</v>
      </c>
      <c r="G81" s="159">
        <v>20</v>
      </c>
      <c r="I81" s="57">
        <v>20</v>
      </c>
      <c r="K81" s="57">
        <v>20</v>
      </c>
      <c r="M81" s="57">
        <v>20</v>
      </c>
      <c r="O81" s="57">
        <v>20</v>
      </c>
      <c r="Q81" s="57">
        <v>20</v>
      </c>
      <c r="S81" s="57">
        <v>20</v>
      </c>
      <c r="U81" s="57">
        <v>20</v>
      </c>
      <c r="W81" s="57">
        <v>20</v>
      </c>
      <c r="Y81" s="57">
        <v>20</v>
      </c>
      <c r="AA81" s="57">
        <v>20</v>
      </c>
      <c r="AC81" s="57">
        <v>20</v>
      </c>
      <c r="AE81" s="57">
        <v>20</v>
      </c>
      <c r="AG81" s="57">
        <v>10</v>
      </c>
      <c r="AI81" s="57">
        <v>20</v>
      </c>
      <c r="AK81" s="57">
        <v>20</v>
      </c>
      <c r="AM81" s="57">
        <v>10</v>
      </c>
      <c r="AO81" s="57">
        <v>15</v>
      </c>
      <c r="AQ81" s="57">
        <v>20</v>
      </c>
      <c r="AS81" s="57">
        <v>20</v>
      </c>
      <c r="AU81" s="57">
        <v>20</v>
      </c>
    </row>
    <row r="82" spans="1:47" ht="13.5" thickBot="1">
      <c r="A82" s="316" t="s">
        <v>396</v>
      </c>
      <c r="B82" s="281"/>
      <c r="C82" s="59">
        <f ca="1">OFFSET(INDIRECT($C$8),74,0)</f>
        <v>2</v>
      </c>
      <c r="E82" s="23">
        <v>3</v>
      </c>
      <c r="G82" s="190">
        <v>3</v>
      </c>
      <c r="I82" s="23">
        <v>3</v>
      </c>
      <c r="K82" s="23">
        <v>3</v>
      </c>
      <c r="M82" s="23">
        <v>3</v>
      </c>
      <c r="O82" s="23">
        <v>3</v>
      </c>
      <c r="Q82" s="23">
        <v>3</v>
      </c>
      <c r="S82" s="23">
        <v>3</v>
      </c>
      <c r="U82" s="23">
        <v>3</v>
      </c>
      <c r="W82" s="23">
        <v>3</v>
      </c>
      <c r="Y82" s="23">
        <v>3</v>
      </c>
      <c r="AA82" s="23">
        <v>3</v>
      </c>
      <c r="AC82" s="23">
        <v>3</v>
      </c>
      <c r="AE82" s="23">
        <v>3</v>
      </c>
      <c r="AG82" s="23">
        <v>2</v>
      </c>
      <c r="AI82" s="23">
        <v>3</v>
      </c>
      <c r="AK82" s="23">
        <v>3</v>
      </c>
      <c r="AM82" s="23">
        <v>2</v>
      </c>
      <c r="AO82" s="23">
        <v>2</v>
      </c>
      <c r="AQ82" s="23">
        <v>2</v>
      </c>
      <c r="AS82" s="23">
        <v>3</v>
      </c>
      <c r="AU82" s="23">
        <v>3</v>
      </c>
    </row>
    <row r="83" ht="13.5" thickBot="1"/>
    <row r="84" spans="1:47" ht="13.5" thickBot="1">
      <c r="A84" s="276" t="s">
        <v>399</v>
      </c>
      <c r="B84" s="277"/>
      <c r="C84" s="61">
        <f ca="1">OFFSET(INDIRECT($C$8),76,0)</f>
        <v>10</v>
      </c>
      <c r="E84" s="111">
        <v>0</v>
      </c>
      <c r="G84" s="111">
        <v>0</v>
      </c>
      <c r="I84" s="111">
        <v>20</v>
      </c>
      <c r="K84" s="111">
        <v>20</v>
      </c>
      <c r="M84" s="111">
        <v>20</v>
      </c>
      <c r="O84" s="111">
        <v>20</v>
      </c>
      <c r="Q84" s="111">
        <v>20</v>
      </c>
      <c r="S84" s="111">
        <v>20</v>
      </c>
      <c r="U84" s="111">
        <v>20</v>
      </c>
      <c r="W84" s="111">
        <v>20</v>
      </c>
      <c r="Y84" s="111">
        <v>20</v>
      </c>
      <c r="AA84" s="111">
        <v>100</v>
      </c>
      <c r="AC84" s="111">
        <v>20</v>
      </c>
      <c r="AE84" s="111">
        <v>75</v>
      </c>
      <c r="AG84" s="111">
        <v>100</v>
      </c>
      <c r="AI84" s="111">
        <v>50</v>
      </c>
      <c r="AK84" s="111">
        <v>20</v>
      </c>
      <c r="AM84" s="111">
        <v>0</v>
      </c>
      <c r="AO84" s="111">
        <v>0</v>
      </c>
      <c r="AQ84" s="111">
        <v>10</v>
      </c>
      <c r="AS84" s="111">
        <v>0</v>
      </c>
      <c r="AU84" s="111">
        <v>0</v>
      </c>
    </row>
    <row r="85" ht="13.5" thickBot="1"/>
    <row r="86" spans="2:47" ht="13.5" thickBot="1">
      <c r="B86" s="274" t="s">
        <v>400</v>
      </c>
      <c r="C86" s="61">
        <f ca="1">OFFSET(INDIRECT($C$8),78,0)</f>
        <v>0.25</v>
      </c>
      <c r="E86" s="111">
        <v>0</v>
      </c>
      <c r="G86" s="111">
        <v>0</v>
      </c>
      <c r="I86" s="111">
        <v>0.25</v>
      </c>
      <c r="K86" s="111">
        <v>0.25</v>
      </c>
      <c r="M86" s="111">
        <v>0</v>
      </c>
      <c r="O86" s="111">
        <v>0</v>
      </c>
      <c r="Q86" s="111">
        <v>0</v>
      </c>
      <c r="S86" s="111">
        <v>0</v>
      </c>
      <c r="U86" s="111">
        <v>0</v>
      </c>
      <c r="W86" s="111">
        <v>0</v>
      </c>
      <c r="Y86" s="111">
        <v>0</v>
      </c>
      <c r="AA86" s="111">
        <v>0.5</v>
      </c>
      <c r="AC86" s="111">
        <v>0.25</v>
      </c>
      <c r="AE86" s="111">
        <v>0.25</v>
      </c>
      <c r="AG86" s="111">
        <v>0.25</v>
      </c>
      <c r="AI86" s="111">
        <v>0.25</v>
      </c>
      <c r="AK86" s="111">
        <v>0.25</v>
      </c>
      <c r="AM86" s="111">
        <v>0</v>
      </c>
      <c r="AO86" s="111">
        <v>0</v>
      </c>
      <c r="AQ86" s="111">
        <v>0.25</v>
      </c>
      <c r="AS86" s="111">
        <v>0</v>
      </c>
      <c r="AU86" s="111">
        <v>0</v>
      </c>
    </row>
  </sheetData>
  <sheetProtection/>
  <mergeCells count="25">
    <mergeCell ref="A82:B82"/>
    <mergeCell ref="A84:B84"/>
    <mergeCell ref="A77:B77"/>
    <mergeCell ref="A78:B78"/>
    <mergeCell ref="A80:B80"/>
    <mergeCell ref="A81:B81"/>
    <mergeCell ref="A73:B73"/>
    <mergeCell ref="A75:B75"/>
    <mergeCell ref="A74:B74"/>
    <mergeCell ref="A76:B76"/>
    <mergeCell ref="A68:B68"/>
    <mergeCell ref="A69:B69"/>
    <mergeCell ref="A71:B71"/>
    <mergeCell ref="A72:B72"/>
    <mergeCell ref="A60:B60"/>
    <mergeCell ref="A62:B62"/>
    <mergeCell ref="A67:B67"/>
    <mergeCell ref="A66:B66"/>
    <mergeCell ref="A65:B65"/>
    <mergeCell ref="A64:B64"/>
    <mergeCell ref="A63:B63"/>
    <mergeCell ref="A54:B54"/>
    <mergeCell ref="A53:B53"/>
    <mergeCell ref="A56:B56"/>
    <mergeCell ref="A58:B58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</dc:creator>
  <cp:keywords/>
  <dc:description/>
  <cp:lastModifiedBy>Gilbert</cp:lastModifiedBy>
  <cp:lastPrinted>2009-02-01T10:49:11Z</cp:lastPrinted>
  <dcterms:created xsi:type="dcterms:W3CDTF">2009-01-19T10:04:26Z</dcterms:created>
  <dcterms:modified xsi:type="dcterms:W3CDTF">2009-02-16T11:58:48Z</dcterms:modified>
  <cp:category/>
  <cp:version/>
  <cp:contentType/>
  <cp:contentStatus/>
</cp:coreProperties>
</file>